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hb\gbl\proj\Tysons\39956.64 HSIP_Safety Initiatives\tech\Task 3 As-Needed Assistance\CMF_Calculator_Update\"/>
    </mc:Choice>
  </mc:AlternateContent>
  <xr:revisionPtr revIDLastSave="0" documentId="13_ncr:1_{2F0FF1DA-0752-47E2-BBED-04D51134E62B}" xr6:coauthVersionLast="47" xr6:coauthVersionMax="47" xr10:uidLastSave="{00000000-0000-0000-0000-000000000000}"/>
  <bookViews>
    <workbookView xWindow="-108" yWindow="-108" windowWidth="30936" windowHeight="16896" tabRatio="828" xr2:uid="{00000000-000D-0000-FFFF-FFFF00000000}"/>
  </bookViews>
  <sheets>
    <sheet name="Horizontal Curve Calculator" sheetId="3" r:id="rId1"/>
    <sheet name="Shoulder Width Calculator" sheetId="12" r:id="rId2"/>
    <sheet name="Ramp Entrance Calculator" sheetId="9" r:id="rId3"/>
    <sheet name="Ramp Exit Calculator" sheetId="11" r:id="rId4"/>
    <sheet name="ISATe Hide" sheetId="10" state="hidden" r:id="rId5"/>
  </sheets>
  <definedNames>
    <definedName name="Area">'ISATe Hide'!$A$1:$A$2</definedName>
    <definedName name="Lanes">'ISATe Hide'!$C$2:$C$5</definedName>
    <definedName name="RLanes">'ISATe Hide'!$F$4:$F$5</definedName>
    <definedName name="Yes">'ISATe Hide'!$F$1:$F$2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2" l="1"/>
  <c r="U15" i="12"/>
  <c r="U19" i="12"/>
  <c r="U23" i="12"/>
  <c r="U27" i="12"/>
  <c r="U31" i="12"/>
  <c r="P5" i="12" l="1"/>
  <c r="P4" i="12"/>
  <c r="N16" i="12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N31" i="12" s="1"/>
  <c r="O19" i="12"/>
  <c r="O23" i="12"/>
  <c r="O27" i="12"/>
  <c r="O31" i="12"/>
  <c r="O15" i="12"/>
  <c r="V29" i="12"/>
  <c r="V30" i="12" s="1"/>
  <c r="V25" i="12"/>
  <c r="V26" i="12" s="1"/>
  <c r="V21" i="12"/>
  <c r="V22" i="12" s="1"/>
  <c r="V17" i="12"/>
  <c r="V18" i="12" s="1"/>
  <c r="T29" i="12"/>
  <c r="T25" i="12"/>
  <c r="T21" i="12"/>
  <c r="T17" i="12"/>
  <c r="S16" i="12"/>
  <c r="S17" i="12" s="1"/>
  <c r="S18" i="12" s="1"/>
  <c r="S19" i="12" s="1"/>
  <c r="S20" i="12" s="1"/>
  <c r="S21" i="12" s="1"/>
  <c r="S22" i="12" s="1"/>
  <c r="S23" i="12" s="1"/>
  <c r="S24" i="12" s="1"/>
  <c r="S25" i="12" s="1"/>
  <c r="S26" i="12" s="1"/>
  <c r="S27" i="12" s="1"/>
  <c r="S28" i="12" s="1"/>
  <c r="S29" i="12" s="1"/>
  <c r="S30" i="12" s="1"/>
  <c r="S31" i="12" s="1"/>
  <c r="U17" i="12" l="1"/>
  <c r="O17" i="12" s="1"/>
  <c r="T22" i="12"/>
  <c r="U21" i="12"/>
  <c r="O21" i="12" s="1"/>
  <c r="T26" i="12"/>
  <c r="U25" i="12"/>
  <c r="T30" i="12"/>
  <c r="U29" i="12"/>
  <c r="O29" i="12" s="1"/>
  <c r="T16" i="12"/>
  <c r="T18" i="12"/>
  <c r="O25" i="12"/>
  <c r="P8" i="12" s="1"/>
  <c r="T20" i="12"/>
  <c r="V28" i="12"/>
  <c r="V24" i="12"/>
  <c r="V20" i="12"/>
  <c r="V16" i="12"/>
  <c r="T28" i="12"/>
  <c r="T24" i="12"/>
  <c r="O7" i="11"/>
  <c r="H7" i="11"/>
  <c r="F6" i="11"/>
  <c r="P2" i="11"/>
  <c r="I2" i="11"/>
  <c r="R5" i="11" l="1"/>
  <c r="Q4" i="11"/>
  <c r="Q5" i="11"/>
  <c r="S3" i="11"/>
  <c r="Q3" i="11"/>
  <c r="S4" i="11"/>
  <c r="R3" i="11"/>
  <c r="S5" i="11"/>
  <c r="R4" i="11"/>
  <c r="L8" i="11"/>
  <c r="L7" i="11"/>
  <c r="K8" i="11"/>
  <c r="K7" i="11"/>
  <c r="J8" i="11"/>
  <c r="J7" i="11"/>
  <c r="M7" i="11"/>
  <c r="K5" i="11"/>
  <c r="J4" i="11"/>
  <c r="L5" i="11"/>
  <c r="J5" i="11"/>
  <c r="L3" i="11"/>
  <c r="K4" i="11"/>
  <c r="L4" i="11"/>
  <c r="K3" i="11"/>
  <c r="J3" i="11"/>
  <c r="S8" i="11"/>
  <c r="S7" i="11"/>
  <c r="R8" i="11"/>
  <c r="R7" i="11"/>
  <c r="T7" i="11"/>
  <c r="Q8" i="11"/>
  <c r="Q7" i="11"/>
  <c r="Q16" i="11"/>
  <c r="J16" i="11"/>
  <c r="U20" i="12"/>
  <c r="U24" i="12"/>
  <c r="O24" i="12" s="1"/>
  <c r="U22" i="12"/>
  <c r="O22" i="12" s="1"/>
  <c r="U30" i="12"/>
  <c r="O30" i="12" s="1"/>
  <c r="U18" i="12"/>
  <c r="O18" i="12" s="1"/>
  <c r="U28" i="12"/>
  <c r="O28" i="12" s="1"/>
  <c r="U16" i="12"/>
  <c r="U26" i="12"/>
  <c r="O26" i="12" s="1"/>
  <c r="O20" i="12"/>
  <c r="O16" i="12"/>
  <c r="P7" i="12" s="1"/>
  <c r="E13" i="12" s="1"/>
  <c r="O7" i="9"/>
  <c r="H7" i="9"/>
  <c r="F6" i="9"/>
  <c r="P2" i="9"/>
  <c r="I2" i="9"/>
  <c r="J13" i="11" l="1"/>
  <c r="J11" i="11"/>
  <c r="Q13" i="11"/>
  <c r="J15" i="11"/>
  <c r="Q14" i="11"/>
  <c r="Q15" i="11"/>
  <c r="J12" i="11"/>
  <c r="J14" i="11"/>
  <c r="Q12" i="11"/>
  <c r="Q11" i="11"/>
  <c r="L4" i="9"/>
  <c r="K3" i="9"/>
  <c r="J5" i="9"/>
  <c r="L5" i="9"/>
  <c r="K4" i="9"/>
  <c r="J3" i="9"/>
  <c r="L3" i="9"/>
  <c r="K5" i="9"/>
  <c r="J4" i="9"/>
  <c r="Q5" i="9"/>
  <c r="S3" i="9"/>
  <c r="Q4" i="9"/>
  <c r="S4" i="9"/>
  <c r="R3" i="9"/>
  <c r="S5" i="9"/>
  <c r="R4" i="9"/>
  <c r="Q3" i="9"/>
  <c r="R5" i="9"/>
  <c r="J16" i="9"/>
  <c r="Q16" i="9"/>
  <c r="J8" i="9"/>
  <c r="J7" i="9"/>
  <c r="M7" i="9"/>
  <c r="K8" i="9"/>
  <c r="L8" i="9"/>
  <c r="L7" i="9"/>
  <c r="K7" i="9"/>
  <c r="R8" i="9"/>
  <c r="R7" i="9"/>
  <c r="S8" i="9"/>
  <c r="Q8" i="9"/>
  <c r="Q7" i="9"/>
  <c r="S7" i="9"/>
  <c r="T7" i="9"/>
  <c r="E14" i="12"/>
  <c r="AA5" i="3"/>
  <c r="AG5" i="3" s="1"/>
  <c r="AA6" i="3"/>
  <c r="AA7" i="3"/>
  <c r="AA8" i="3"/>
  <c r="AA9" i="3"/>
  <c r="AA10" i="3"/>
  <c r="AG6" i="3" s="1"/>
  <c r="AA4" i="3"/>
  <c r="AG4" i="3" s="1"/>
  <c r="B16" i="11" l="1"/>
  <c r="B18" i="11"/>
  <c r="B14" i="11"/>
  <c r="F16" i="3"/>
  <c r="J12" i="9"/>
  <c r="AF5" i="3"/>
  <c r="AE5" i="3"/>
  <c r="AE4" i="3"/>
  <c r="AF4" i="3"/>
  <c r="AE6" i="3"/>
  <c r="AF6" i="3"/>
  <c r="Q11" i="9"/>
  <c r="Q12" i="9"/>
  <c r="Q13" i="9"/>
  <c r="J15" i="9"/>
  <c r="Q14" i="9"/>
  <c r="J13" i="9"/>
  <c r="Q15" i="9"/>
  <c r="J11" i="9"/>
  <c r="J14" i="9"/>
  <c r="B17" i="9" l="1"/>
  <c r="B15" i="9"/>
  <c r="B19" i="9"/>
  <c r="F15" i="3"/>
  <c r="F14" i="3"/>
</calcChain>
</file>

<file path=xl/sharedStrings.xml><?xml version="1.0" encoding="utf-8"?>
<sst xmlns="http://schemas.openxmlformats.org/spreadsheetml/2006/main" count="416" uniqueCount="101">
  <si>
    <t>CMF</t>
  </si>
  <si>
    <t>Urban</t>
  </si>
  <si>
    <t>Rural</t>
  </si>
  <si>
    <t>4 Lanes</t>
  </si>
  <si>
    <t>6 Lanes</t>
  </si>
  <si>
    <t>Yes</t>
  </si>
  <si>
    <t>Inputs</t>
  </si>
  <si>
    <t>AADT:</t>
  </si>
  <si>
    <t>Vehicles/Day</t>
  </si>
  <si>
    <t>Feet</t>
  </si>
  <si>
    <t>Shoulder Width On Curve, Existing:</t>
  </si>
  <si>
    <t>Shoulder Width On Curve, Proposed:</t>
  </si>
  <si>
    <t>meters</t>
  </si>
  <si>
    <t>C, old curve:</t>
  </si>
  <si>
    <t>C, old tangent:</t>
  </si>
  <si>
    <t>C, new curve:</t>
  </si>
  <si>
    <t>CMF, KABC=</t>
  </si>
  <si>
    <t>CMF, PDO=</t>
  </si>
  <si>
    <t>KABC</t>
  </si>
  <si>
    <t>PDO</t>
  </si>
  <si>
    <t>Area Type:</t>
  </si>
  <si>
    <t>8 Lanes</t>
  </si>
  <si>
    <t>10 Lanes</t>
  </si>
  <si>
    <t>Number of Lanes:</t>
  </si>
  <si>
    <t>a</t>
  </si>
  <si>
    <t>b</t>
  </si>
  <si>
    <t>c</t>
  </si>
  <si>
    <t>d</t>
  </si>
  <si>
    <t>SV</t>
  </si>
  <si>
    <t>MV</t>
  </si>
  <si>
    <t>SC</t>
  </si>
  <si>
    <t>Freeway AADT:</t>
  </si>
  <si>
    <t>Ramp AADT:</t>
  </si>
  <si>
    <t>Left Entrance?:</t>
  </si>
  <si>
    <t>No</t>
  </si>
  <si>
    <t>FI Coefficients</t>
  </si>
  <si>
    <t>PDO Coefficients</t>
  </si>
  <si>
    <t>N, MV:</t>
  </si>
  <si>
    <t>N, SV:</t>
  </si>
  <si>
    <t>N, SC:</t>
  </si>
  <si>
    <t>RE CMF:</t>
  </si>
  <si>
    <t>CMF, PDO:</t>
  </si>
  <si>
    <t>FI</t>
  </si>
  <si>
    <t>Rural4 Lanes</t>
  </si>
  <si>
    <t>Rural6 Lanes</t>
  </si>
  <si>
    <t>Rural8 Lanes</t>
  </si>
  <si>
    <t>Urban4 Lanes</t>
  </si>
  <si>
    <t>Urban6 Lanes</t>
  </si>
  <si>
    <t>Urban8 Lanes</t>
  </si>
  <si>
    <t>Urban10 Lanes</t>
  </si>
  <si>
    <t>I=</t>
  </si>
  <si>
    <t>N, MV, R:</t>
  </si>
  <si>
    <t>N, SV, R:</t>
  </si>
  <si>
    <t>Ramp SV</t>
  </si>
  <si>
    <t>Ramp MV</t>
  </si>
  <si>
    <t>Number of Ramp Lanes:</t>
  </si>
  <si>
    <t>Rural1</t>
  </si>
  <si>
    <t>Urban1</t>
  </si>
  <si>
    <t>Urban2</t>
  </si>
  <si>
    <t>This assumes everything else is "base" (i.e., all adjustment factors = 1)</t>
  </si>
  <si>
    <t>Entrance</t>
  </si>
  <si>
    <t>Exit</t>
  </si>
  <si>
    <t>Tangent Length, Existing (See Sketch):</t>
  </si>
  <si>
    <t>Radius, Existing (R1):</t>
  </si>
  <si>
    <t>Radius, Proposed (R2):</t>
  </si>
  <si>
    <t>Curve Length, Existing (PT1 - PC1):</t>
  </si>
  <si>
    <t>Curve Length, Proposed (PT2 - PC2):</t>
  </si>
  <si>
    <t>CMF Output</t>
  </si>
  <si>
    <t>Saleem, T. and B. Persaud. " Another look at the safety effects of horizontal curvature on rural two-lane highways". Accident Analysis and Prevention, Vol. 106, (2017) pp. 149-159.</t>
  </si>
  <si>
    <t>Shoulder Width CMFs</t>
  </si>
  <si>
    <t>ADT &lt; 400</t>
  </si>
  <si>
    <t>ADT &gt; 2000</t>
  </si>
  <si>
    <t>400 &lt; ADT &lt; 2000</t>
  </si>
  <si>
    <t>SW</t>
  </si>
  <si>
    <t>Relevant CMFs</t>
  </si>
  <si>
    <t>Rounded:</t>
  </si>
  <si>
    <t>Exist:</t>
  </si>
  <si>
    <t>Proposed:</t>
  </si>
  <si>
    <t>CMF Output*</t>
  </si>
  <si>
    <t>*CMF applies to roadway departure, head on, and sideswipe (opposite and same direction) crashes</t>
  </si>
  <si>
    <t>Existing Paved Shoulder Width:</t>
  </si>
  <si>
    <r>
      <t>Proposed Paved Shoulder Width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:</t>
    </r>
  </si>
  <si>
    <t>CMF, KABC:</t>
  </si>
  <si>
    <t>Rural/Urban</t>
  </si>
  <si>
    <t>Lanes</t>
  </si>
  <si>
    <t>Yes/No</t>
  </si>
  <si>
    <t>Freeway Segment Length:</t>
  </si>
  <si>
    <t>Ramp Length:</t>
  </si>
  <si>
    <t>Miles</t>
  </si>
  <si>
    <t>Output</t>
  </si>
  <si>
    <t>The above table is taken from the IHSDM Engineers Manual</t>
  </si>
  <si>
    <r>
      <t>1</t>
    </r>
    <r>
      <rPr>
        <sz val="11"/>
        <color theme="1"/>
        <rFont val="Calibri"/>
        <family val="2"/>
        <scheme val="minor"/>
      </rPr>
      <t>The CMF does not account for additional crash reduction for shoulders wider than 8 feet</t>
    </r>
  </si>
  <si>
    <t>PDO CMF Calculation from Saleem &amp; Persaud (2017)</t>
  </si>
  <si>
    <t>Fatal and Injury CMF Calculation from Saleem and Persaud (2017)</t>
  </si>
  <si>
    <t>CMF, All=</t>
  </si>
  <si>
    <t>All CMF Calculation from Saleem &amp; Persaud (2017)</t>
  </si>
  <si>
    <t>All</t>
  </si>
  <si>
    <t>CMF, All:</t>
  </si>
  <si>
    <t>The CMFs are calculated as the total predicted crashes in the proposed condition divided by the proposed number of crashes in the existing conditions.</t>
  </si>
  <si>
    <t>Existing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</si>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</sst>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4">
    <xf numFmtId="0" fontId="0" fillId="0" borderId="0"/>
    <xf numFmtId="0" fontId="2" fillId="3" borderId="1" applyNumberFormat="0" applyAlignment="0" applyProtection="0"/>
    <xf numFmtId="0" fontId="4" fillId="4" borderId="3" applyNumberFormat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Border="1"/>
    <xf numFmtId="0" fontId="1" fillId="0" borderId="0" xfId="0" applyFont="1" applyFill="1" applyBorder="1" applyAlignment="1">
      <alignment horizontal="left"/>
    </xf>
    <xf numFmtId="0" fontId="0" fillId="0" borderId="2" xfId="0" applyBorder="1"/>
    <xf numFmtId="0" fontId="5" fillId="0" borderId="0" xfId="0" applyFont="1" applyAlignment="1">
      <alignment horizontal="right"/>
    </xf>
    <xf numFmtId="2" fontId="4" fillId="4" borderId="3" xfId="2" applyNumberFormat="1"/>
    <xf numFmtId="0" fontId="1" fillId="0" borderId="0" xfId="0" applyFont="1" applyAlignment="1">
      <alignment horizontal="right"/>
    </xf>
    <xf numFmtId="0" fontId="7" fillId="0" borderId="0" xfId="3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0" borderId="0" xfId="0" applyFont="1" applyBorder="1" applyAlignment="1"/>
    <xf numFmtId="0" fontId="7" fillId="0" borderId="0" xfId="3" applyAlignment="1">
      <alignment horizontal="right"/>
    </xf>
    <xf numFmtId="0" fontId="7" fillId="4" borderId="1" xfId="3" applyFill="1" applyBorder="1"/>
    <xf numFmtId="2" fontId="7" fillId="4" borderId="1" xfId="3" applyNumberFormat="1" applyFill="1" applyBorder="1"/>
    <xf numFmtId="0" fontId="7" fillId="0" borderId="2" xfId="3" applyBorder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/>
    <xf numFmtId="0" fontId="5" fillId="0" borderId="0" xfId="0" applyFont="1" applyAlignment="1"/>
    <xf numFmtId="0" fontId="9" fillId="0" borderId="0" xfId="0" applyFont="1" applyFill="1" applyBorder="1" applyAlignment="1">
      <alignment horizontal="right"/>
    </xf>
    <xf numFmtId="2" fontId="11" fillId="4" borderId="3" xfId="2" applyNumberFormat="1" applyFont="1"/>
    <xf numFmtId="0" fontId="12" fillId="0" borderId="0" xfId="0" applyFont="1"/>
    <xf numFmtId="2" fontId="7" fillId="0" borderId="0" xfId="3" applyNumberFormat="1"/>
    <xf numFmtId="0" fontId="5" fillId="2" borderId="2" xfId="0" applyFont="1" applyFill="1" applyBorder="1"/>
    <xf numFmtId="0" fontId="5" fillId="0" borderId="2" xfId="0" applyFont="1" applyBorder="1"/>
    <xf numFmtId="0" fontId="2" fillId="3" borderId="1" xfId="1" applyProtection="1">
      <protection locked="0"/>
    </xf>
    <xf numFmtId="0" fontId="2" fillId="3" borderId="4" xfId="1" applyBorder="1" applyProtection="1">
      <protection locked="0"/>
    </xf>
    <xf numFmtId="0" fontId="13" fillId="0" borderId="0" xfId="0" applyFont="1" applyAlignment="1">
      <alignment horizontal="right"/>
    </xf>
    <xf numFmtId="164" fontId="6" fillId="4" borderId="5" xfId="2" applyNumberFormat="1" applyFont="1" applyBorder="1"/>
    <xf numFmtId="164" fontId="6" fillId="4" borderId="3" xfId="2" applyNumberFormat="1" applyFont="1"/>
    <xf numFmtId="2" fontId="6" fillId="4" borderId="5" xfId="2" applyNumberFormat="1" applyFont="1" applyBorder="1"/>
    <xf numFmtId="2" fontId="6" fillId="4" borderId="3" xfId="2" applyNumberFormat="1" applyFont="1"/>
    <xf numFmtId="2" fontId="12" fillId="0" borderId="0" xfId="0" applyNumberFormat="1" applyFont="1"/>
    <xf numFmtId="0" fontId="14" fillId="0" borderId="0" xfId="3" applyFont="1" applyAlignment="1">
      <alignment wrapText="1"/>
    </xf>
    <xf numFmtId="0" fontId="5" fillId="0" borderId="2" xfId="0" applyFont="1" applyBorder="1" applyAlignment="1">
      <alignment horizontal="center"/>
    </xf>
    <xf numFmtId="0" fontId="7" fillId="0" borderId="0" xfId="3" applyAlignment="1">
      <alignment horizontal="center"/>
    </xf>
    <xf numFmtId="0" fontId="0" fillId="2" borderId="0" xfId="0" applyFill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Explanatory Text" xfId="3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74083</xdr:rowOff>
    </xdr:from>
    <xdr:to>
      <xdr:col>21</xdr:col>
      <xdr:colOff>112184</xdr:colOff>
      <xdr:row>15</xdr:row>
      <xdr:rowOff>74083</xdr:rowOff>
    </xdr:to>
    <xdr:pic>
      <xdr:nvPicPr>
        <xdr:cNvPr id="4" name="Picture 3" descr="Equation">
          <a:extLst>
            <a:ext uri="{FF2B5EF4-FFF2-40B4-BE49-F238E27FC236}">
              <a16:creationId xmlns:a16="http://schemas.microsoft.com/office/drawing/2014/main" id="{789BE5E5-014A-4354-B1E7-9ECC119DD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2900" y="264583"/>
          <a:ext cx="6187017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50800</xdr:colOff>
      <xdr:row>18</xdr:row>
      <xdr:rowOff>76200</xdr:rowOff>
    </xdr:from>
    <xdr:to>
      <xdr:col>21</xdr:col>
      <xdr:colOff>99484</xdr:colOff>
      <xdr:row>35</xdr:row>
      <xdr:rowOff>15875</xdr:rowOff>
    </xdr:to>
    <xdr:pic>
      <xdr:nvPicPr>
        <xdr:cNvPr id="5" name="Picture 4" descr="Equation">
          <a:extLst>
            <a:ext uri="{FF2B5EF4-FFF2-40B4-BE49-F238E27FC236}">
              <a16:creationId xmlns:a16="http://schemas.microsoft.com/office/drawing/2014/main" id="{3E5A8274-6315-4F56-AB6C-11EA7CFE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178300"/>
          <a:ext cx="6261100" cy="306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576791</xdr:colOff>
      <xdr:row>16</xdr:row>
      <xdr:rowOff>95250</xdr:rowOff>
    </xdr:from>
    <xdr:to>
      <xdr:col>10</xdr:col>
      <xdr:colOff>262254</xdr:colOff>
      <xdr:row>34</xdr:row>
      <xdr:rowOff>169333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2EE0F-D12F-41BD-8940-2A73B719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6791" y="3598333"/>
          <a:ext cx="6745605" cy="3503083"/>
        </a:xfrm>
        <a:prstGeom prst="rect">
          <a:avLst/>
        </a:prstGeom>
      </xdr:spPr>
    </xdr:pic>
    <xdr:clientData/>
  </xdr:twoCellAnchor>
  <xdr:twoCellAnchor editAs="oneCell">
    <xdr:from>
      <xdr:col>11</xdr:col>
      <xdr:colOff>70556</xdr:colOff>
      <xdr:row>40</xdr:row>
      <xdr:rowOff>70555</xdr:rowOff>
    </xdr:from>
    <xdr:to>
      <xdr:col>21</xdr:col>
      <xdr:colOff>245181</xdr:colOff>
      <xdr:row>56</xdr:row>
      <xdr:rowOff>92780</xdr:rowOff>
    </xdr:to>
    <xdr:pic>
      <xdr:nvPicPr>
        <xdr:cNvPr id="6" name="Picture 5" descr="Equation">
          <a:extLst>
            <a:ext uri="{FF2B5EF4-FFF2-40B4-BE49-F238E27FC236}">
              <a16:creationId xmlns:a16="http://schemas.microsoft.com/office/drawing/2014/main" id="{661FE9BD-D7A6-4BD5-AE63-9615ADE1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612" y="8332611"/>
          <a:ext cx="6232877" cy="306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10</xdr:row>
      <xdr:rowOff>9525</xdr:rowOff>
    </xdr:from>
    <xdr:to>
      <xdr:col>11</xdr:col>
      <xdr:colOff>304800</xdr:colOff>
      <xdr:row>16</xdr:row>
      <xdr:rowOff>98425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178D56-211F-4F5E-852F-5639B4401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20"/>
        <a:stretch/>
      </xdr:blipFill>
      <xdr:spPr>
        <a:xfrm>
          <a:off x="4591050" y="2076450"/>
          <a:ext cx="4848225" cy="16478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0"/>
  <sheetViews>
    <sheetView tabSelected="1" zoomScale="90" zoomScaleNormal="90" workbookViewId="0"/>
  </sheetViews>
  <sheetFormatPr defaultRowHeight="14.4" x14ac:dyDescent="0.3"/>
  <cols>
    <col min="6" max="6" width="19.6640625" bestFit="1" customWidth="1"/>
    <col min="7" max="7" width="12.6640625" bestFit="1" customWidth="1"/>
    <col min="23" max="26" width="0" hidden="1" customWidth="1"/>
    <col min="27" max="33" width="9.109375" hidden="1" customWidth="1"/>
  </cols>
  <sheetData>
    <row r="1" spans="2:33" x14ac:dyDescent="0.3">
      <c r="B1" s="3"/>
      <c r="L1" s="1" t="s">
        <v>93</v>
      </c>
      <c r="M1" s="3"/>
      <c r="N1" s="3"/>
      <c r="O1" s="3"/>
      <c r="P1" s="3"/>
      <c r="Q1" s="3"/>
      <c r="R1" s="3"/>
      <c r="S1" s="3"/>
      <c r="AA1" s="16"/>
      <c r="AB1" s="16"/>
      <c r="AC1" s="16"/>
      <c r="AD1" s="16"/>
      <c r="AE1" s="16"/>
      <c r="AF1" s="16"/>
      <c r="AG1" s="16"/>
    </row>
    <row r="2" spans="2:33" ht="23.4" x14ac:dyDescent="0.45">
      <c r="B2" s="4"/>
      <c r="E2" s="43" t="s">
        <v>6</v>
      </c>
      <c r="F2" s="43"/>
      <c r="G2" s="43"/>
      <c r="M2" s="3"/>
      <c r="N2" s="4"/>
      <c r="O2" s="4"/>
      <c r="P2" s="4"/>
      <c r="Q2" s="4"/>
      <c r="R2" s="4"/>
      <c r="S2" s="4"/>
      <c r="AA2" s="16"/>
      <c r="AB2" s="16"/>
      <c r="AC2" s="16"/>
      <c r="AD2" s="16"/>
      <c r="AE2" s="16"/>
      <c r="AF2" s="16"/>
      <c r="AG2" s="16"/>
    </row>
    <row r="3" spans="2:33" ht="15.6" x14ac:dyDescent="0.3">
      <c r="B3" s="4"/>
      <c r="E3" s="36" t="s">
        <v>7</v>
      </c>
      <c r="F3" s="35"/>
      <c r="G3" t="s">
        <v>8</v>
      </c>
      <c r="L3" s="3"/>
      <c r="M3" s="3"/>
      <c r="N3" s="4"/>
      <c r="O3" s="4"/>
      <c r="P3" s="4"/>
      <c r="Q3" s="4"/>
      <c r="R3" s="4"/>
      <c r="S3" s="4"/>
      <c r="AA3" s="16"/>
      <c r="AB3" s="16"/>
      <c r="AC3" s="16"/>
      <c r="AD3" s="16"/>
      <c r="AE3" s="16" t="s">
        <v>18</v>
      </c>
      <c r="AF3" s="16" t="s">
        <v>19</v>
      </c>
      <c r="AG3" s="16" t="s">
        <v>96</v>
      </c>
    </row>
    <row r="4" spans="2:33" ht="15.6" x14ac:dyDescent="0.3">
      <c r="B4" s="4"/>
      <c r="E4" s="36" t="s">
        <v>63</v>
      </c>
      <c r="F4" s="34"/>
      <c r="G4" t="s">
        <v>9</v>
      </c>
      <c r="L4" s="3"/>
      <c r="M4" s="3"/>
      <c r="N4" s="4"/>
      <c r="O4" s="4"/>
      <c r="P4" s="4"/>
      <c r="Q4" s="4"/>
      <c r="R4" s="4"/>
      <c r="S4" s="4"/>
      <c r="Z4" s="36" t="s">
        <v>63</v>
      </c>
      <c r="AA4" s="21">
        <f t="shared" ref="AA4:AA10" si="0">F4*0.3048</f>
        <v>0</v>
      </c>
      <c r="AB4" s="21" t="s">
        <v>12</v>
      </c>
      <c r="AC4" s="16"/>
      <c r="AD4" s="20" t="s">
        <v>13</v>
      </c>
      <c r="AE4" s="21" t="str">
        <f>IFERROR(EXP(-11.8006)*$F$3^0.9125*$AA4^-0.5175*$AA6^0.9783*EXP(-0.0442*$AA8),"")</f>
        <v/>
      </c>
      <c r="AF4" s="21" t="str">
        <f>IFERROR(EXP(-12.2855)*$F$3^0.9185*$AA4^-0.3679*$AA6^0.9709*EXP(-0.0582*$AA8)," ")</f>
        <v xml:space="preserve"> </v>
      </c>
      <c r="AG4" s="21" t="str">
        <f>IFERROR(EXP(-11.4015)*($F$3^0.9176)*(AA4^-0.4342)*(AA6^0.9735)*EXP(-0.0434*AA8),"")</f>
        <v/>
      </c>
    </row>
    <row r="5" spans="2:33" ht="15.6" x14ac:dyDescent="0.3">
      <c r="B5" s="4"/>
      <c r="E5" s="36" t="s">
        <v>64</v>
      </c>
      <c r="F5" s="34"/>
      <c r="G5" t="s">
        <v>9</v>
      </c>
      <c r="L5" s="3"/>
      <c r="M5" s="3"/>
      <c r="N5" s="4"/>
      <c r="O5" s="4"/>
      <c r="P5" s="4"/>
      <c r="Q5" s="4"/>
      <c r="R5" s="4"/>
      <c r="S5" s="4"/>
      <c r="Z5" s="36" t="s">
        <v>64</v>
      </c>
      <c r="AA5" s="21">
        <f t="shared" si="0"/>
        <v>0</v>
      </c>
      <c r="AB5" s="21" t="s">
        <v>12</v>
      </c>
      <c r="AC5" s="16"/>
      <c r="AD5" s="20" t="s">
        <v>15</v>
      </c>
      <c r="AE5" s="21" t="str">
        <f>IFERROR(EXP(-11.8006)*$F$3^0.9125*$AA5^-0.5175*$AA7^0.9783*EXP(-0.0442*$AA9),"")</f>
        <v/>
      </c>
      <c r="AF5" s="21" t="str">
        <f>IFERROR(EXP(-12.2855)*$F$3^0.9185*$AA5^-0.3679*$AA7^0.9709*EXP(-0.0582*$AA9)," ")</f>
        <v xml:space="preserve"> </v>
      </c>
      <c r="AG5" s="21" t="str">
        <f>IFERROR(EXP(-11.4015)*($F$3^0.9176)*(AA5^-0.4342)*(AA7^0.9735)*EXP(-0.0434*AA9),"")</f>
        <v/>
      </c>
    </row>
    <row r="6" spans="2:33" ht="15.6" x14ac:dyDescent="0.3">
      <c r="B6" s="4"/>
      <c r="E6" s="36" t="s">
        <v>65</v>
      </c>
      <c r="F6" s="34"/>
      <c r="G6" t="s">
        <v>9</v>
      </c>
      <c r="L6" s="3"/>
      <c r="M6" s="3"/>
      <c r="N6" s="4"/>
      <c r="O6" s="4"/>
      <c r="P6" s="4"/>
      <c r="Q6" s="4"/>
      <c r="R6" s="4"/>
      <c r="S6" s="4"/>
      <c r="Z6" s="36" t="s">
        <v>65</v>
      </c>
      <c r="AA6" s="21">
        <f t="shared" si="0"/>
        <v>0</v>
      </c>
      <c r="AB6" s="21" t="s">
        <v>12</v>
      </c>
      <c r="AC6" s="16"/>
      <c r="AD6" s="20" t="s">
        <v>14</v>
      </c>
      <c r="AE6" s="21">
        <f>IFERROR(EXP(-14.9101)*$F3^0.9224*$AA10^0.9407," ")</f>
        <v>0</v>
      </c>
      <c r="AF6" s="21">
        <f>IFERROR(EXP(-15.0735)*$F3^0.9455*$AA10^0.9965," ")</f>
        <v>0</v>
      </c>
      <c r="AG6" s="21">
        <f>EXP(-14.3378)*(F3^0.938)*(AA10^0.9727)</f>
        <v>0</v>
      </c>
    </row>
    <row r="7" spans="2:33" ht="15.6" x14ac:dyDescent="0.3">
      <c r="B7" s="4"/>
      <c r="E7" s="36" t="s">
        <v>66</v>
      </c>
      <c r="F7" s="34"/>
      <c r="G7" t="s">
        <v>9</v>
      </c>
      <c r="L7" s="3"/>
      <c r="M7" s="3"/>
      <c r="N7" s="4"/>
      <c r="O7" s="4"/>
      <c r="P7" s="4"/>
      <c r="Q7" s="4"/>
      <c r="R7" s="4"/>
      <c r="S7" s="4"/>
      <c r="Z7" s="36" t="s">
        <v>66</v>
      </c>
      <c r="AA7" s="21">
        <f t="shared" si="0"/>
        <v>0</v>
      </c>
      <c r="AB7" s="21" t="s">
        <v>12</v>
      </c>
      <c r="AC7" s="16"/>
      <c r="AD7" s="16"/>
      <c r="AE7" s="16"/>
      <c r="AF7" s="16"/>
      <c r="AG7" s="16"/>
    </row>
    <row r="8" spans="2:33" ht="15.6" x14ac:dyDescent="0.3">
      <c r="B8" s="4"/>
      <c r="E8" s="36" t="s">
        <v>10</v>
      </c>
      <c r="F8" s="34"/>
      <c r="G8" t="s">
        <v>9</v>
      </c>
      <c r="L8" s="3"/>
      <c r="M8" s="3"/>
      <c r="N8" s="4"/>
      <c r="O8" s="4"/>
      <c r="P8" s="4"/>
      <c r="Q8" s="4"/>
      <c r="R8" s="4"/>
      <c r="S8" s="4"/>
      <c r="Z8" s="36" t="s">
        <v>10</v>
      </c>
      <c r="AA8" s="21">
        <f t="shared" si="0"/>
        <v>0</v>
      </c>
      <c r="AB8" s="21" t="s">
        <v>12</v>
      </c>
      <c r="AC8" s="16"/>
      <c r="AD8" s="16"/>
      <c r="AE8" s="16"/>
      <c r="AF8" s="16"/>
      <c r="AG8" s="16"/>
    </row>
    <row r="9" spans="2:33" ht="15.6" x14ac:dyDescent="0.3">
      <c r="B9" s="4"/>
      <c r="E9" s="36" t="s">
        <v>11</v>
      </c>
      <c r="F9" s="34"/>
      <c r="G9" t="s">
        <v>9</v>
      </c>
      <c r="L9" s="3"/>
      <c r="M9" s="3"/>
      <c r="N9" s="4"/>
      <c r="O9" s="4"/>
      <c r="P9" s="4"/>
      <c r="Q9" s="4"/>
      <c r="R9" s="4"/>
      <c r="S9" s="4"/>
      <c r="Z9" s="36" t="s">
        <v>11</v>
      </c>
      <c r="AA9" s="21">
        <f t="shared" si="0"/>
        <v>0</v>
      </c>
      <c r="AB9" s="21" t="s">
        <v>12</v>
      </c>
      <c r="AC9" s="16"/>
      <c r="AD9" s="16"/>
      <c r="AE9" s="16"/>
      <c r="AF9" s="16"/>
      <c r="AG9" s="16"/>
    </row>
    <row r="10" spans="2:33" ht="15.6" x14ac:dyDescent="0.3">
      <c r="B10" s="4"/>
      <c r="E10" s="36" t="s">
        <v>62</v>
      </c>
      <c r="F10" s="34"/>
      <c r="G10" t="s">
        <v>9</v>
      </c>
      <c r="L10" s="3"/>
      <c r="M10" s="3"/>
      <c r="N10" s="4"/>
      <c r="O10" s="4"/>
      <c r="P10" s="4"/>
      <c r="Q10" s="4"/>
      <c r="R10" s="4"/>
      <c r="S10" s="4"/>
      <c r="Z10" s="36" t="s">
        <v>62</v>
      </c>
      <c r="AA10" s="21">
        <f t="shared" si="0"/>
        <v>0</v>
      </c>
      <c r="AB10" s="21" t="s">
        <v>12</v>
      </c>
      <c r="AC10" s="16"/>
      <c r="AD10" s="16"/>
      <c r="AE10" s="16"/>
      <c r="AF10" s="16"/>
      <c r="AG10" s="16"/>
    </row>
    <row r="11" spans="2:33" x14ac:dyDescent="0.3">
      <c r="B11" s="4"/>
      <c r="E11" s="2"/>
      <c r="L11" s="3"/>
      <c r="M11" s="3"/>
      <c r="N11" s="4"/>
      <c r="O11" s="4"/>
      <c r="P11" s="4"/>
      <c r="Q11" s="4"/>
      <c r="R11" s="4"/>
      <c r="S11" s="4"/>
      <c r="AA11" s="16"/>
      <c r="AB11" s="16"/>
      <c r="AC11" s="16"/>
      <c r="AD11" s="16"/>
      <c r="AE11" s="16"/>
      <c r="AF11" s="16"/>
      <c r="AG11" s="16"/>
    </row>
    <row r="12" spans="2:33" x14ac:dyDescent="0.3">
      <c r="B12" s="4"/>
      <c r="L12" s="3"/>
      <c r="M12" s="3"/>
      <c r="N12" s="4"/>
      <c r="O12" s="4"/>
      <c r="P12" s="4"/>
      <c r="Q12" s="4"/>
      <c r="R12" s="4"/>
      <c r="S12" s="4"/>
      <c r="AA12" s="16"/>
      <c r="AB12" s="16"/>
      <c r="AC12" s="16"/>
      <c r="AD12" s="16"/>
      <c r="AE12" s="16"/>
      <c r="AF12" s="16"/>
      <c r="AG12" s="16"/>
    </row>
    <row r="13" spans="2:33" ht="23.4" x14ac:dyDescent="0.45">
      <c r="B13" s="3"/>
      <c r="F13" s="33" t="s">
        <v>67</v>
      </c>
      <c r="L13" s="3"/>
      <c r="M13" s="3"/>
      <c r="N13" s="3"/>
      <c r="O13" s="3"/>
      <c r="P13" s="3"/>
      <c r="Q13" s="3"/>
      <c r="R13" s="3"/>
      <c r="S13" s="3"/>
      <c r="AA13" s="16"/>
      <c r="AB13" s="16"/>
      <c r="AC13" s="16"/>
      <c r="AD13" s="16"/>
      <c r="AE13" s="16"/>
      <c r="AF13" s="16"/>
      <c r="AG13" s="16"/>
    </row>
    <row r="14" spans="2:33" ht="23.4" x14ac:dyDescent="0.45">
      <c r="B14" s="3"/>
      <c r="E14" s="13" t="s">
        <v>16</v>
      </c>
      <c r="F14" s="37" t="str">
        <f>IFERROR(1-((AE4+AE6-AE5)/(AE4+AE6))," ")</f>
        <v xml:space="preserve"> </v>
      </c>
      <c r="L14" s="3"/>
      <c r="M14" s="3"/>
      <c r="N14" s="3"/>
      <c r="O14" s="3"/>
      <c r="P14" s="3"/>
      <c r="Q14" s="3"/>
      <c r="R14" s="3"/>
      <c r="S14" s="3"/>
      <c r="AA14" s="16"/>
      <c r="AB14" s="16"/>
      <c r="AC14" s="16"/>
      <c r="AD14" s="16"/>
      <c r="AE14" s="16"/>
      <c r="AF14" s="16"/>
      <c r="AG14" s="16"/>
    </row>
    <row r="15" spans="2:33" ht="23.4" x14ac:dyDescent="0.45">
      <c r="B15" s="3"/>
      <c r="E15" s="13" t="s">
        <v>17</v>
      </c>
      <c r="F15" s="38" t="str">
        <f>IFERROR(1-((AF4+AF6-AF5)/(AF4+AF6))," ")</f>
        <v xml:space="preserve"> </v>
      </c>
      <c r="L15" s="2"/>
      <c r="M15" s="5"/>
      <c r="N15" s="3"/>
      <c r="O15" s="3"/>
      <c r="P15" s="3"/>
      <c r="Q15" s="3"/>
      <c r="R15" s="3"/>
      <c r="S15" s="3"/>
      <c r="AA15" s="16"/>
      <c r="AB15" s="16"/>
      <c r="AC15" s="16"/>
      <c r="AD15" s="16"/>
      <c r="AE15" s="16"/>
      <c r="AF15" s="16"/>
      <c r="AG15" s="16"/>
    </row>
    <row r="16" spans="2:33" ht="23.4" x14ac:dyDescent="0.45">
      <c r="B16" s="3"/>
      <c r="E16" s="13" t="s">
        <v>94</v>
      </c>
      <c r="F16" s="38" t="str">
        <f>IFERROR(1-((AG4+AG6-AG5)/(AG4+AG6))," ")</f>
        <v xml:space="preserve"> </v>
      </c>
      <c r="L16" s="2"/>
      <c r="M16" s="5"/>
      <c r="N16" s="3"/>
      <c r="O16" s="3"/>
      <c r="P16" s="3"/>
      <c r="Q16" s="3"/>
      <c r="R16" s="3"/>
      <c r="S16" s="3"/>
    </row>
    <row r="17" spans="2:19" x14ac:dyDescent="0.3">
      <c r="B17" s="3"/>
      <c r="L17" s="3"/>
      <c r="M17" s="3"/>
      <c r="N17" s="3"/>
      <c r="O17" s="3"/>
      <c r="P17" s="3"/>
      <c r="Q17" s="3"/>
      <c r="R17" s="3"/>
      <c r="S17" s="3"/>
    </row>
    <row r="18" spans="2:19" x14ac:dyDescent="0.3">
      <c r="B18" s="3"/>
      <c r="L18" s="9" t="s">
        <v>92</v>
      </c>
      <c r="M18" s="3"/>
      <c r="N18" s="3"/>
      <c r="O18" s="3"/>
      <c r="P18" s="3"/>
      <c r="Q18" s="3"/>
      <c r="R18" s="3"/>
      <c r="S18" s="3"/>
    </row>
    <row r="19" spans="2:19" x14ac:dyDescent="0.3">
      <c r="B19" s="3"/>
      <c r="M19" s="3"/>
      <c r="N19" s="3"/>
      <c r="O19" s="3"/>
      <c r="P19" s="3"/>
      <c r="Q19" s="3"/>
      <c r="R19" s="3"/>
      <c r="S19" s="3"/>
    </row>
    <row r="20" spans="2:19" x14ac:dyDescent="0.3">
      <c r="B20" s="3"/>
      <c r="L20" s="3"/>
      <c r="M20" s="3"/>
      <c r="N20" s="3"/>
      <c r="O20" s="3"/>
      <c r="P20" s="3"/>
      <c r="Q20" s="3"/>
      <c r="R20" s="3"/>
      <c r="S20" s="3"/>
    </row>
    <row r="21" spans="2:19" x14ac:dyDescent="0.3">
      <c r="B21" s="3"/>
      <c r="L21" s="3"/>
      <c r="M21" s="3"/>
      <c r="N21" s="3"/>
      <c r="O21" s="3"/>
      <c r="P21" s="3"/>
      <c r="Q21" s="3"/>
      <c r="R21" s="3"/>
      <c r="S21" s="3"/>
    </row>
    <row r="22" spans="2:19" x14ac:dyDescent="0.3">
      <c r="B22" s="3"/>
      <c r="L22" s="3"/>
      <c r="M22" s="3"/>
      <c r="N22" s="3"/>
      <c r="O22" s="3"/>
      <c r="P22" s="3"/>
      <c r="Q22" s="3"/>
      <c r="R22" s="3"/>
      <c r="S22" s="3"/>
    </row>
    <row r="23" spans="2:19" x14ac:dyDescent="0.3">
      <c r="B23" s="3"/>
      <c r="L23" s="3"/>
      <c r="M23" s="3"/>
      <c r="N23" s="3"/>
      <c r="O23" s="3"/>
      <c r="P23" s="3"/>
      <c r="Q23" s="3"/>
      <c r="R23" s="3"/>
      <c r="S23" s="3"/>
    </row>
    <row r="24" spans="2:19" x14ac:dyDescent="0.3">
      <c r="B24" s="3"/>
      <c r="L24" s="3"/>
      <c r="M24" s="3"/>
      <c r="N24" s="3"/>
      <c r="O24" s="3"/>
      <c r="P24" s="3"/>
      <c r="Q24" s="3"/>
      <c r="R24" s="3"/>
      <c r="S24" s="3"/>
    </row>
    <row r="25" spans="2:19" x14ac:dyDescent="0.3">
      <c r="B25" s="3"/>
      <c r="L25" s="3"/>
      <c r="M25" s="3"/>
      <c r="N25" s="3"/>
      <c r="O25" s="3"/>
      <c r="P25" s="3"/>
      <c r="Q25" s="3"/>
      <c r="R25" s="3"/>
      <c r="S25" s="3"/>
    </row>
    <row r="26" spans="2:19" x14ac:dyDescent="0.3">
      <c r="B26" s="3"/>
      <c r="L26" s="3"/>
      <c r="M26" s="3"/>
      <c r="N26" s="3"/>
      <c r="O26" s="3"/>
      <c r="P26" s="3"/>
      <c r="Q26" s="3"/>
      <c r="R26" s="3"/>
      <c r="S26" s="3"/>
    </row>
    <row r="27" spans="2:19" x14ac:dyDescent="0.3">
      <c r="B27" s="3"/>
      <c r="L27" s="3"/>
      <c r="M27" s="3"/>
      <c r="N27" s="3"/>
      <c r="O27" s="3"/>
      <c r="P27" s="3"/>
      <c r="Q27" s="3"/>
      <c r="R27" s="3"/>
      <c r="S27" s="3"/>
    </row>
    <row r="28" spans="2:19" x14ac:dyDescent="0.3">
      <c r="B28" s="3"/>
    </row>
    <row r="29" spans="2:19" x14ac:dyDescent="0.3">
      <c r="B29" s="3"/>
    </row>
    <row r="30" spans="2:19" x14ac:dyDescent="0.3">
      <c r="B30" s="3"/>
    </row>
    <row r="31" spans="2:19" x14ac:dyDescent="0.3">
      <c r="B31" s="3"/>
    </row>
    <row r="38" spans="12:12" x14ac:dyDescent="0.3">
      <c r="L38" t="s">
        <v>68</v>
      </c>
    </row>
    <row r="40" spans="12:12" x14ac:dyDescent="0.3">
      <c r="L40" s="9" t="s">
        <v>95</v>
      </c>
    </row>
  </sheetData>
  <sheetProtection algorithmName="SHA-512" hashValue="68ad2fufNz5OVo6PyLMJTC4K4lG7qh4feJSFaiIDjiaFu/7GXqlpLs03Fox67BOkihiTwCSY/imETtwmKvLtug==" saltValue="Tv/qPeAV8Zi10ckOX4WsKA==" spinCount="100000" sheet="1" objects="1" scenarios="1"/>
  <mergeCells count="1">
    <mergeCell ref="E2:G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31"/>
  <sheetViews>
    <sheetView workbookViewId="0"/>
  </sheetViews>
  <sheetFormatPr defaultRowHeight="14.4" x14ac:dyDescent="0.3"/>
  <cols>
    <col min="5" max="5" width="27.109375" customWidth="1"/>
    <col min="6" max="6" width="12.6640625" bestFit="1" customWidth="1"/>
    <col min="7" max="7" width="12.6640625" customWidth="1"/>
    <col min="10" max="10" width="20.44140625" bestFit="1" customWidth="1"/>
    <col min="13" max="13" width="9.109375" hidden="1" customWidth="1"/>
    <col min="14" max="14" width="9.44140625" hidden="1" customWidth="1"/>
    <col min="15" max="15" width="15.44140625" hidden="1" customWidth="1"/>
    <col min="16" max="16" width="10.44140625" hidden="1" customWidth="1"/>
    <col min="17" max="18" width="9.109375" hidden="1" customWidth="1"/>
    <col min="19" max="19" width="12.109375" hidden="1" customWidth="1"/>
    <col min="20" max="20" width="10" hidden="1" customWidth="1"/>
    <col min="21" max="21" width="16" hidden="1" customWidth="1"/>
    <col min="22" max="22" width="11" hidden="1" customWidth="1"/>
    <col min="23" max="23" width="9.109375" customWidth="1"/>
  </cols>
  <sheetData>
    <row r="3" spans="2:22" ht="23.4" x14ac:dyDescent="0.45">
      <c r="D3" s="43" t="s">
        <v>6</v>
      </c>
      <c r="E3" s="43"/>
      <c r="F3" s="43"/>
      <c r="G3" s="19"/>
    </row>
    <row r="4" spans="2:22" x14ac:dyDescent="0.3">
      <c r="D4" s="15" t="s">
        <v>7</v>
      </c>
      <c r="E4" s="35"/>
      <c r="F4" t="s">
        <v>8</v>
      </c>
      <c r="O4" s="20" t="s">
        <v>75</v>
      </c>
      <c r="P4" s="21">
        <f>MROUND(E5,0.5)</f>
        <v>0</v>
      </c>
    </row>
    <row r="5" spans="2:22" x14ac:dyDescent="0.3">
      <c r="D5" s="15" t="s">
        <v>80</v>
      </c>
      <c r="E5" s="34"/>
      <c r="F5" t="s">
        <v>9</v>
      </c>
      <c r="O5" s="20" t="s">
        <v>75</v>
      </c>
      <c r="P5" s="21">
        <f>MROUND(E6,0.5)</f>
        <v>0</v>
      </c>
    </row>
    <row r="6" spans="2:22" ht="16.2" x14ac:dyDescent="0.3">
      <c r="D6" s="15" t="s">
        <v>81</v>
      </c>
      <c r="E6" s="34"/>
      <c r="F6" t="s">
        <v>9</v>
      </c>
      <c r="O6" s="16"/>
      <c r="P6" s="16"/>
    </row>
    <row r="7" spans="2:22" x14ac:dyDescent="0.3">
      <c r="O7" s="20" t="s">
        <v>76</v>
      </c>
      <c r="P7" s="21">
        <f>IF(P4&gt;8,O31,VLOOKUP(P4,N15:O31,2,FALSE))</f>
        <v>1.1000000000000001</v>
      </c>
    </row>
    <row r="8" spans="2:22" x14ac:dyDescent="0.3">
      <c r="O8" s="20" t="s">
        <v>77</v>
      </c>
      <c r="P8" s="21">
        <f>IF(P5&gt;8,O31,VLOOKUP(P5,N15:O31,2,FALSE))</f>
        <v>1.1000000000000001</v>
      </c>
    </row>
    <row r="9" spans="2:22" ht="16.2" x14ac:dyDescent="0.3">
      <c r="B9" s="8" t="s">
        <v>91</v>
      </c>
    </row>
    <row r="12" spans="2:22" ht="23.4" x14ac:dyDescent="0.45">
      <c r="E12" s="32" t="s">
        <v>78</v>
      </c>
    </row>
    <row r="13" spans="2:22" ht="23.4" x14ac:dyDescent="0.45">
      <c r="D13" s="13" t="s">
        <v>16</v>
      </c>
      <c r="E13" s="39">
        <f>P8/P7</f>
        <v>1</v>
      </c>
      <c r="S13" s="16"/>
      <c r="T13" s="44" t="s">
        <v>69</v>
      </c>
      <c r="U13" s="44"/>
      <c r="V13" s="44"/>
    </row>
    <row r="14" spans="2:22" ht="23.4" x14ac:dyDescent="0.45">
      <c r="D14" s="13" t="s">
        <v>17</v>
      </c>
      <c r="E14" s="40">
        <f>P8/P7</f>
        <v>1</v>
      </c>
      <c r="N14" s="16" t="s">
        <v>73</v>
      </c>
      <c r="O14" s="16" t="s">
        <v>74</v>
      </c>
      <c r="S14" s="16" t="s">
        <v>73</v>
      </c>
      <c r="T14" s="16" t="s">
        <v>70</v>
      </c>
      <c r="U14" s="16" t="s">
        <v>72</v>
      </c>
      <c r="V14" s="16" t="s">
        <v>71</v>
      </c>
    </row>
    <row r="15" spans="2:22" ht="23.4" x14ac:dyDescent="0.45">
      <c r="D15" s="13" t="s">
        <v>94</v>
      </c>
      <c r="E15" s="40">
        <f>E14</f>
        <v>1</v>
      </c>
      <c r="N15" s="16">
        <v>0</v>
      </c>
      <c r="O15" s="16">
        <f t="shared" ref="O15:O31" si="0">IF(E$4&lt;400,T15,IF(E$4&gt;2000,V15,U15))</f>
        <v>1.1000000000000001</v>
      </c>
      <c r="S15" s="16">
        <v>0</v>
      </c>
      <c r="T15" s="16">
        <v>1.1000000000000001</v>
      </c>
      <c r="U15" s="16">
        <f t="shared" ref="U15:U31" si="1">T15+(V15-T15)*(E$4-400)/(2000-400)</f>
        <v>1</v>
      </c>
      <c r="V15" s="16">
        <v>1.5</v>
      </c>
    </row>
    <row r="16" spans="2:22" ht="15" customHeight="1" x14ac:dyDescent="0.3">
      <c r="N16" s="16">
        <f t="shared" ref="N16:N31" si="2">N15+0.5</f>
        <v>0.5</v>
      </c>
      <c r="O16" s="16">
        <f t="shared" si="0"/>
        <v>1.0925</v>
      </c>
      <c r="S16" s="16">
        <f t="shared" ref="S16:S31" si="3">S15+0.5</f>
        <v>0.5</v>
      </c>
      <c r="T16" s="16">
        <f>AVERAGE(T15,T17)</f>
        <v>1.0925</v>
      </c>
      <c r="U16" s="16">
        <f t="shared" si="1"/>
        <v>1.003125</v>
      </c>
      <c r="V16" s="16">
        <f>AVERAGE(V15,V17)</f>
        <v>1.45</v>
      </c>
    </row>
    <row r="17" spans="3:22" x14ac:dyDescent="0.3">
      <c r="N17" s="16">
        <f t="shared" si="2"/>
        <v>1</v>
      </c>
      <c r="O17" s="16">
        <f t="shared" si="0"/>
        <v>1.085</v>
      </c>
      <c r="S17" s="16">
        <f t="shared" si="3"/>
        <v>1</v>
      </c>
      <c r="T17" s="16">
        <f>AVERAGE(T15,T19)</f>
        <v>1.085</v>
      </c>
      <c r="U17" s="16">
        <f t="shared" si="1"/>
        <v>1.0062500000000001</v>
      </c>
      <c r="V17" s="16">
        <f>AVERAGE(V15,V19)</f>
        <v>1.4</v>
      </c>
    </row>
    <row r="18" spans="3:22" x14ac:dyDescent="0.3">
      <c r="N18" s="16">
        <f t="shared" si="2"/>
        <v>1.5</v>
      </c>
      <c r="O18" s="16">
        <f t="shared" si="0"/>
        <v>1.0775000000000001</v>
      </c>
      <c r="S18" s="16">
        <f t="shared" si="3"/>
        <v>1.5</v>
      </c>
      <c r="T18" s="16">
        <f>AVERAGE(T17,T19)</f>
        <v>1.0775000000000001</v>
      </c>
      <c r="U18" s="16">
        <f t="shared" si="1"/>
        <v>1.0093750000000001</v>
      </c>
      <c r="V18" s="16">
        <f>AVERAGE(V17,V19)</f>
        <v>1.35</v>
      </c>
    </row>
    <row r="19" spans="3:22" x14ac:dyDescent="0.3">
      <c r="G19" t="s">
        <v>90</v>
      </c>
      <c r="N19" s="16">
        <f t="shared" si="2"/>
        <v>2</v>
      </c>
      <c r="O19" s="16">
        <f t="shared" si="0"/>
        <v>1.07</v>
      </c>
      <c r="S19" s="16">
        <f t="shared" si="3"/>
        <v>2</v>
      </c>
      <c r="T19" s="16">
        <v>1.07</v>
      </c>
      <c r="U19" s="16">
        <f t="shared" si="1"/>
        <v>1.0125</v>
      </c>
      <c r="V19" s="16">
        <v>1.3</v>
      </c>
    </row>
    <row r="20" spans="3:22" x14ac:dyDescent="0.3">
      <c r="C20" s="45" t="s">
        <v>79</v>
      </c>
      <c r="D20" s="45"/>
      <c r="E20" s="45"/>
      <c r="N20" s="16">
        <f t="shared" si="2"/>
        <v>2.5</v>
      </c>
      <c r="O20" s="16">
        <f t="shared" si="0"/>
        <v>1.0575000000000001</v>
      </c>
      <c r="S20" s="16">
        <f t="shared" si="3"/>
        <v>2.5</v>
      </c>
      <c r="T20" s="16">
        <f>AVERAGE(T19,T21)</f>
        <v>1.0575000000000001</v>
      </c>
      <c r="U20" s="16">
        <f t="shared" si="1"/>
        <v>1.0062500000000001</v>
      </c>
      <c r="V20" s="16">
        <f>AVERAGE(V19,V21)</f>
        <v>1.2625000000000002</v>
      </c>
    </row>
    <row r="21" spans="3:22" x14ac:dyDescent="0.3">
      <c r="C21" s="45"/>
      <c r="D21" s="45"/>
      <c r="E21" s="45"/>
      <c r="N21" s="16">
        <f t="shared" si="2"/>
        <v>3</v>
      </c>
      <c r="O21" s="16">
        <f t="shared" si="0"/>
        <v>1.0449999999999999</v>
      </c>
      <c r="S21" s="16">
        <f t="shared" si="3"/>
        <v>3</v>
      </c>
      <c r="T21" s="16">
        <f>AVERAGE(T19,T23)</f>
        <v>1.0449999999999999</v>
      </c>
      <c r="U21" s="16">
        <f t="shared" si="1"/>
        <v>0.99999999999999989</v>
      </c>
      <c r="V21" s="16">
        <f>AVERAGE(V19,V23)</f>
        <v>1.2250000000000001</v>
      </c>
    </row>
    <row r="22" spans="3:22" x14ac:dyDescent="0.3">
      <c r="C22" s="45"/>
      <c r="D22" s="45"/>
      <c r="E22" s="45"/>
      <c r="N22" s="16">
        <f t="shared" si="2"/>
        <v>3.5</v>
      </c>
      <c r="O22" s="16">
        <f t="shared" si="0"/>
        <v>1.0325</v>
      </c>
      <c r="S22" s="16">
        <f t="shared" si="3"/>
        <v>3.5</v>
      </c>
      <c r="T22" s="16">
        <f>AVERAGE(T21,T23)</f>
        <v>1.0325</v>
      </c>
      <c r="U22" s="16">
        <f t="shared" si="1"/>
        <v>0.99374999999999991</v>
      </c>
      <c r="V22" s="16">
        <f>AVERAGE(V21,V23)</f>
        <v>1.1875</v>
      </c>
    </row>
    <row r="23" spans="3:22" x14ac:dyDescent="0.3">
      <c r="C23" s="45"/>
      <c r="D23" s="45"/>
      <c r="E23" s="45"/>
      <c r="N23" s="16">
        <f t="shared" si="2"/>
        <v>4</v>
      </c>
      <c r="O23" s="16">
        <f t="shared" si="0"/>
        <v>1.02</v>
      </c>
      <c r="S23" s="16">
        <f t="shared" si="3"/>
        <v>4</v>
      </c>
      <c r="T23" s="16">
        <v>1.02</v>
      </c>
      <c r="U23" s="16">
        <f t="shared" si="1"/>
        <v>0.98750000000000004</v>
      </c>
      <c r="V23" s="16">
        <v>1.1499999999999999</v>
      </c>
    </row>
    <row r="24" spans="3:22" x14ac:dyDescent="0.3">
      <c r="C24" s="17"/>
      <c r="D24" s="17"/>
      <c r="E24" s="17"/>
      <c r="N24" s="16">
        <f t="shared" si="2"/>
        <v>4.5</v>
      </c>
      <c r="O24" s="16">
        <f t="shared" si="0"/>
        <v>1.0150000000000001</v>
      </c>
      <c r="S24" s="16">
        <f t="shared" si="3"/>
        <v>4.5</v>
      </c>
      <c r="T24" s="16">
        <f>AVERAGE(T23,T25)</f>
        <v>1.0150000000000001</v>
      </c>
      <c r="U24" s="16">
        <f t="shared" si="1"/>
        <v>0.9906250000000002</v>
      </c>
      <c r="V24" s="16">
        <f>AVERAGE(V23,V25)</f>
        <v>1.1124999999999998</v>
      </c>
    </row>
    <row r="25" spans="3:22" x14ac:dyDescent="0.3">
      <c r="C25" s="17"/>
      <c r="D25" s="18"/>
      <c r="E25" s="17"/>
      <c r="N25" s="16">
        <f t="shared" si="2"/>
        <v>5</v>
      </c>
      <c r="O25" s="16">
        <f t="shared" si="0"/>
        <v>1.01</v>
      </c>
      <c r="S25" s="16">
        <f t="shared" si="3"/>
        <v>5</v>
      </c>
      <c r="T25" s="16">
        <f>AVERAGE(T23,T27)</f>
        <v>1.01</v>
      </c>
      <c r="U25" s="16">
        <f t="shared" si="1"/>
        <v>0.99375000000000002</v>
      </c>
      <c r="V25" s="16">
        <f>AVERAGE(V23,V27)</f>
        <v>1.075</v>
      </c>
    </row>
    <row r="26" spans="3:22" x14ac:dyDescent="0.3">
      <c r="C26" s="17"/>
      <c r="D26" s="17"/>
      <c r="E26" s="17"/>
      <c r="N26" s="16">
        <f t="shared" si="2"/>
        <v>5.5</v>
      </c>
      <c r="O26" s="16">
        <f t="shared" si="0"/>
        <v>1.0049999999999999</v>
      </c>
      <c r="S26" s="16">
        <f t="shared" si="3"/>
        <v>5.5</v>
      </c>
      <c r="T26" s="16">
        <f>AVERAGE(T25,T27)</f>
        <v>1.0049999999999999</v>
      </c>
      <c r="U26" s="16">
        <f t="shared" si="1"/>
        <v>0.99687499999999984</v>
      </c>
      <c r="V26" s="16">
        <f>AVERAGE(V25,V27)</f>
        <v>1.0375000000000001</v>
      </c>
    </row>
    <row r="27" spans="3:22" x14ac:dyDescent="0.3">
      <c r="C27" s="17"/>
      <c r="D27" s="18"/>
      <c r="E27" s="17"/>
      <c r="N27" s="16">
        <f t="shared" si="2"/>
        <v>6</v>
      </c>
      <c r="O27" s="16">
        <f t="shared" si="0"/>
        <v>1</v>
      </c>
      <c r="S27" s="16">
        <f t="shared" si="3"/>
        <v>6</v>
      </c>
      <c r="T27" s="16">
        <v>1</v>
      </c>
      <c r="U27" s="16">
        <f t="shared" si="1"/>
        <v>1</v>
      </c>
      <c r="V27" s="16">
        <v>1</v>
      </c>
    </row>
    <row r="28" spans="3:22" x14ac:dyDescent="0.3">
      <c r="N28" s="16">
        <f t="shared" si="2"/>
        <v>6.5</v>
      </c>
      <c r="O28" s="16">
        <f t="shared" si="0"/>
        <v>0.995</v>
      </c>
      <c r="S28" s="16">
        <f t="shared" si="3"/>
        <v>6.5</v>
      </c>
      <c r="T28" s="16">
        <f>AVERAGE(T27,T29)</f>
        <v>0.995</v>
      </c>
      <c r="U28" s="16">
        <f t="shared" si="1"/>
        <v>1.0018750000000001</v>
      </c>
      <c r="V28" s="16">
        <f>AVERAGE(V27,V29)</f>
        <v>0.96750000000000003</v>
      </c>
    </row>
    <row r="29" spans="3:22" x14ac:dyDescent="0.3">
      <c r="N29" s="16">
        <f t="shared" si="2"/>
        <v>7</v>
      </c>
      <c r="O29" s="16">
        <f t="shared" si="0"/>
        <v>0.99</v>
      </c>
      <c r="S29" s="16">
        <f t="shared" si="3"/>
        <v>7</v>
      </c>
      <c r="T29" s="16">
        <f>AVERAGE(T27,T31)</f>
        <v>0.99</v>
      </c>
      <c r="U29" s="16">
        <f t="shared" si="1"/>
        <v>1.0037499999999999</v>
      </c>
      <c r="V29" s="16">
        <f>AVERAGE(V27,V31)</f>
        <v>0.93500000000000005</v>
      </c>
    </row>
    <row r="30" spans="3:22" x14ac:dyDescent="0.3">
      <c r="N30" s="16">
        <f t="shared" si="2"/>
        <v>7.5</v>
      </c>
      <c r="O30" s="16">
        <f t="shared" si="0"/>
        <v>0.98499999999999999</v>
      </c>
      <c r="S30" s="16">
        <f t="shared" si="3"/>
        <v>7.5</v>
      </c>
      <c r="T30" s="16">
        <f>AVERAGE(T29,T31)</f>
        <v>0.98499999999999999</v>
      </c>
      <c r="U30" s="16">
        <f t="shared" si="1"/>
        <v>1.005625</v>
      </c>
      <c r="V30" s="16">
        <f>AVERAGE(V29,V31)</f>
        <v>0.90250000000000008</v>
      </c>
    </row>
    <row r="31" spans="3:22" x14ac:dyDescent="0.3">
      <c r="N31" s="16">
        <f t="shared" si="2"/>
        <v>8</v>
      </c>
      <c r="O31" s="16">
        <f t="shared" si="0"/>
        <v>0.98</v>
      </c>
      <c r="S31" s="16">
        <f t="shared" si="3"/>
        <v>8</v>
      </c>
      <c r="T31" s="16">
        <v>0.98</v>
      </c>
      <c r="U31" s="16">
        <f t="shared" si="1"/>
        <v>1.0075000000000001</v>
      </c>
      <c r="V31" s="16">
        <v>0.87</v>
      </c>
    </row>
  </sheetData>
  <sheetProtection algorithmName="SHA-512" hashValue="B2M0V32haQYj4lQWhSYmObRBcpWCbr8B5XPwokM3q/Yqt6MG7/OUOxvdzZS42CxTsICFliLyLAJ9Ed/S+ihpFQ==" saltValue="DAIFHmybD78PoAGGyHx2BQ==" spinCount="100000" sheet="1" objects="1" scenarios="1"/>
  <mergeCells count="3">
    <mergeCell ref="T13:V13"/>
    <mergeCell ref="C20:E23"/>
    <mergeCell ref="D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workbookViewId="0">
      <selection sqref="A1:C1"/>
    </sheetView>
  </sheetViews>
  <sheetFormatPr defaultRowHeight="14.4" x14ac:dyDescent="0.3"/>
  <cols>
    <col min="1" max="1" width="28.5546875" bestFit="1" customWidth="1"/>
    <col min="2" max="2" width="28.33203125" customWidth="1"/>
    <col min="3" max="4" width="12.33203125" customWidth="1"/>
    <col min="5" max="20" width="9.109375" hidden="1" customWidth="1"/>
    <col min="21" max="22" width="0" hidden="1" customWidth="1"/>
  </cols>
  <sheetData>
    <row r="1" spans="1:20" ht="21" x14ac:dyDescent="0.4">
      <c r="A1" s="47" t="s">
        <v>6</v>
      </c>
      <c r="B1" s="47"/>
      <c r="C1" s="47"/>
      <c r="D1" s="24"/>
      <c r="E1" s="26"/>
      <c r="I1" s="16"/>
      <c r="J1" s="44" t="s">
        <v>35</v>
      </c>
      <c r="K1" s="44"/>
      <c r="L1" s="44"/>
      <c r="M1" s="44"/>
      <c r="N1" s="16"/>
      <c r="O1" s="16"/>
      <c r="P1" s="16"/>
      <c r="Q1" s="44" t="s">
        <v>36</v>
      </c>
      <c r="R1" s="44"/>
      <c r="S1" s="44"/>
      <c r="T1" s="44"/>
    </row>
    <row r="2" spans="1:20" x14ac:dyDescent="0.3">
      <c r="A2" s="7" t="s">
        <v>20</v>
      </c>
      <c r="B2" s="34"/>
      <c r="C2" t="s">
        <v>83</v>
      </c>
      <c r="I2" s="20" t="str">
        <f>CONCATENATE($B2,$B3)</f>
        <v/>
      </c>
      <c r="J2" s="16" t="s">
        <v>24</v>
      </c>
      <c r="K2" s="16" t="s">
        <v>25</v>
      </c>
      <c r="L2" s="16" t="s">
        <v>26</v>
      </c>
      <c r="M2" s="16" t="s">
        <v>27</v>
      </c>
      <c r="N2" s="16"/>
      <c r="O2" s="16"/>
      <c r="P2" s="20" t="str">
        <f>CONCATENATE($B2,$B3)</f>
        <v/>
      </c>
      <c r="Q2" s="16" t="s">
        <v>24</v>
      </c>
      <c r="R2" s="16" t="s">
        <v>25</v>
      </c>
      <c r="S2" s="16" t="s">
        <v>26</v>
      </c>
      <c r="T2" s="16" t="s">
        <v>27</v>
      </c>
    </row>
    <row r="3" spans="1:20" x14ac:dyDescent="0.3">
      <c r="A3" s="7" t="s">
        <v>23</v>
      </c>
      <c r="B3" s="34"/>
      <c r="C3" t="s">
        <v>84</v>
      </c>
      <c r="I3" s="16" t="s">
        <v>29</v>
      </c>
      <c r="J3" s="21" t="str">
        <f>IFERROR(VLOOKUP($I$2,'ISATe Hide'!$I$4:$L$10,2,FALSE)," ")</f>
        <v xml:space="preserve"> </v>
      </c>
      <c r="K3" s="21" t="str">
        <f>IFERROR(VLOOKUP($I$2,'ISATe Hide'!$I$4:$L$10,3,FALSE)," ")</f>
        <v xml:space="preserve"> </v>
      </c>
      <c r="L3" s="21" t="str">
        <f>IFERROR(VLOOKUP($I$2,'ISATe Hide'!$I$4:$L$10,4,FALSE)," ")</f>
        <v xml:space="preserve"> </v>
      </c>
      <c r="M3" s="21"/>
      <c r="N3" s="16"/>
      <c r="O3" s="16"/>
      <c r="P3" s="16" t="s">
        <v>29</v>
      </c>
      <c r="Q3" s="21" t="str">
        <f>IFERROR(VLOOKUP($P$2,'ISATe Hide'!$I$15:$L$21,2,FALSE)," ")</f>
        <v xml:space="preserve"> </v>
      </c>
      <c r="R3" s="21" t="str">
        <f>IFERROR(VLOOKUP($P$2,'ISATe Hide'!$I$15:$L$21,3,FALSE)," ")</f>
        <v xml:space="preserve"> </v>
      </c>
      <c r="S3" s="21" t="str">
        <f>IFERROR(VLOOKUP($P$2,'ISATe Hide'!$I$15:$L$21,4,FALSE)," ")</f>
        <v xml:space="preserve"> </v>
      </c>
      <c r="T3" s="21"/>
    </row>
    <row r="4" spans="1:20" x14ac:dyDescent="0.3">
      <c r="A4" s="7" t="s">
        <v>31</v>
      </c>
      <c r="B4" s="34"/>
      <c r="C4" t="s">
        <v>8</v>
      </c>
      <c r="I4" s="16" t="s">
        <v>28</v>
      </c>
      <c r="J4" s="21" t="str">
        <f>IFERROR(VLOOKUP($I$2,'ISATe Hide'!$O$4:$R$10,2,FALSE)," ")</f>
        <v xml:space="preserve"> </v>
      </c>
      <c r="K4" s="21" t="str">
        <f>IFERROR(VLOOKUP($I$2,'ISATe Hide'!$O$4:$R$10,3,FALSE)," ")</f>
        <v xml:space="preserve"> </v>
      </c>
      <c r="L4" s="21" t="str">
        <f>IFERROR(VLOOKUP($I$2,'ISATe Hide'!$O$4:$R$10,4,FALSE)," ")</f>
        <v xml:space="preserve"> </v>
      </c>
      <c r="M4" s="21"/>
      <c r="N4" s="16"/>
      <c r="O4" s="16"/>
      <c r="P4" s="16" t="s">
        <v>28</v>
      </c>
      <c r="Q4" s="21" t="str">
        <f>IFERROR(VLOOKUP($P$2,'ISATe Hide'!$O$15:$R$21,2,FALSE)," ")</f>
        <v xml:space="preserve"> </v>
      </c>
      <c r="R4" s="21" t="str">
        <f>IFERROR(VLOOKUP($P$2,'ISATe Hide'!$O$15:$R$21,3,FALSE)," ")</f>
        <v xml:space="preserve"> </v>
      </c>
      <c r="S4" s="21" t="str">
        <f>IFERROR(VLOOKUP($P$2,'ISATe Hide'!$O$15:$R$21,4,FALSE)," ")</f>
        <v xml:space="preserve"> </v>
      </c>
      <c r="T4" s="21"/>
    </row>
    <row r="5" spans="1:20" x14ac:dyDescent="0.3">
      <c r="A5" s="7" t="s">
        <v>32</v>
      </c>
      <c r="B5" s="34"/>
      <c r="C5" t="s">
        <v>8</v>
      </c>
      <c r="I5" s="16" t="s">
        <v>30</v>
      </c>
      <c r="J5" s="21" t="str">
        <f>IFERROR(VLOOKUP($I$2,'ISATe Hide'!$T$4:$W$10,2,FALSE)," ")</f>
        <v xml:space="preserve"> </v>
      </c>
      <c r="K5" s="21" t="str">
        <f>IFERROR(VLOOKUP($I$2,'ISATe Hide'!$T$4:$W$10,3,FALSE)," ")</f>
        <v xml:space="preserve"> </v>
      </c>
      <c r="L5" s="21" t="str">
        <f>IFERROR(VLOOKUP($I$2,'ISATe Hide'!$T$4:$W$10,4,FALSE)," ")</f>
        <v xml:space="preserve"> </v>
      </c>
      <c r="M5" s="21"/>
      <c r="N5" s="16"/>
      <c r="O5" s="16"/>
      <c r="P5" s="16" t="s">
        <v>30</v>
      </c>
      <c r="Q5" s="21" t="str">
        <f>IFERROR(VLOOKUP($P$2,'ISATe Hide'!$T$15:$W$21,2,FALSE)," ")</f>
        <v xml:space="preserve"> </v>
      </c>
      <c r="R5" s="21" t="str">
        <f>IFERROR(VLOOKUP($P$2,'ISATe Hide'!$T$15:$W$21,3,FALSE)," ")</f>
        <v xml:space="preserve"> </v>
      </c>
      <c r="S5" s="21" t="str">
        <f>IFERROR(VLOOKUP($P$2,'ISATe Hide'!$T$15:$W$21,4,FALSE)," ")</f>
        <v xml:space="preserve"> </v>
      </c>
      <c r="T5" s="21"/>
    </row>
    <row r="6" spans="1:20" x14ac:dyDescent="0.3">
      <c r="A6" s="7" t="s">
        <v>33</v>
      </c>
      <c r="B6" s="34"/>
      <c r="C6" t="s">
        <v>85</v>
      </c>
      <c r="E6" s="20" t="s">
        <v>50</v>
      </c>
      <c r="F6" s="16">
        <f>IF(B6="yes",1,0)</f>
        <v>0</v>
      </c>
      <c r="I6" s="16" t="s">
        <v>0</v>
      </c>
      <c r="J6" s="21">
        <v>0.59399999999999997</v>
      </c>
      <c r="K6" s="21">
        <v>3.1800000000000002E-2</v>
      </c>
      <c r="L6" s="21">
        <v>1E-3</v>
      </c>
      <c r="M6" s="21">
        <v>0.19800000000000001</v>
      </c>
      <c r="N6" s="16"/>
      <c r="O6" s="16"/>
      <c r="P6" s="16" t="s">
        <v>0</v>
      </c>
      <c r="Q6" s="21">
        <v>0.82399999999999995</v>
      </c>
      <c r="R6" s="21">
        <v>2.52E-2</v>
      </c>
      <c r="S6" s="21">
        <v>1E-3</v>
      </c>
      <c r="T6" s="21">
        <v>0</v>
      </c>
    </row>
    <row r="7" spans="1:20" x14ac:dyDescent="0.3">
      <c r="A7" s="7" t="s">
        <v>86</v>
      </c>
      <c r="B7" s="34"/>
      <c r="C7" t="s">
        <v>88</v>
      </c>
      <c r="H7" t="str">
        <f>CONCATENATE($B2,$B9)</f>
        <v/>
      </c>
      <c r="I7" s="16" t="s">
        <v>54</v>
      </c>
      <c r="J7" s="21" t="str">
        <f>IFERROR(VLOOKUP($H$7,'ISATe Hide'!$Y$4:$AC$6,2,FALSE)," ")</f>
        <v xml:space="preserve"> </v>
      </c>
      <c r="K7" s="21" t="str">
        <f>IFERROR(VLOOKUP($H$7,'ISATe Hide'!$Y$4:$AC$6,3,FALSE)," ")</f>
        <v xml:space="preserve"> </v>
      </c>
      <c r="L7" s="21" t="str">
        <f>IFERROR(VLOOKUP($H$7,'ISATe Hide'!$Y$4:$AC$6,4,FALSE)," ")</f>
        <v xml:space="preserve"> </v>
      </c>
      <c r="M7" s="21" t="str">
        <f>IFERROR(VLOOKUP($H$7,'ISATe Hide'!$Y$4:$AC$6,5,FALSE)," ")</f>
        <v xml:space="preserve"> </v>
      </c>
      <c r="N7" s="16"/>
      <c r="O7" s="16" t="str">
        <f>CONCATENATE($B2,$B9)</f>
        <v/>
      </c>
      <c r="P7" s="16" t="s">
        <v>54</v>
      </c>
      <c r="Q7" s="21" t="str">
        <f>IFERROR(VLOOKUP($O$7,'ISATe Hide'!$Y$15:$AC$17,2,FALSE)," ")</f>
        <v xml:space="preserve"> </v>
      </c>
      <c r="R7" s="21" t="str">
        <f>IFERROR(VLOOKUP($O$7,'ISATe Hide'!$Y$15:$AC$17,3,FALSE)," ")</f>
        <v xml:space="preserve"> </v>
      </c>
      <c r="S7" s="21" t="str">
        <f>IFERROR(VLOOKUP($O$7,'ISATe Hide'!$Y$15:$AC$17,4,FALSE)," ")</f>
        <v xml:space="preserve"> </v>
      </c>
      <c r="T7" s="21" t="str">
        <f>IFERROR(VLOOKUP($O$7,'ISATe Hide'!$Y$15:$AC$17,5,FALSE)," ")</f>
        <v xml:space="preserve"> </v>
      </c>
    </row>
    <row r="8" spans="1:20" x14ac:dyDescent="0.3">
      <c r="A8" s="7" t="s">
        <v>87</v>
      </c>
      <c r="B8" s="34"/>
      <c r="C8" t="s">
        <v>88</v>
      </c>
      <c r="I8" s="16" t="s">
        <v>53</v>
      </c>
      <c r="J8" s="21" t="str">
        <f>IFERROR(VLOOKUP($H$7,'ISATe Hide'!$AE$4:$AH$6,2,FALSE)," ")</f>
        <v xml:space="preserve"> </v>
      </c>
      <c r="K8" s="21" t="str">
        <f>IFERROR(VLOOKUP($H$7,'ISATe Hide'!$AE$4:$AH$6,3,FALSE)," ")</f>
        <v xml:space="preserve"> </v>
      </c>
      <c r="L8" s="21" t="str">
        <f>IFERROR(VLOOKUP($H$7,'ISATe Hide'!$AE$4:$AH$6,4,FALSE)," ")</f>
        <v xml:space="preserve"> </v>
      </c>
      <c r="M8" s="21"/>
      <c r="N8" s="16"/>
      <c r="O8" s="16"/>
      <c r="P8" s="16" t="s">
        <v>53</v>
      </c>
      <c r="Q8" s="21" t="str">
        <f>IFERROR(VLOOKUP($O$7,'ISATe Hide'!$AE$15:$AH$17,2,FALSE)," ")</f>
        <v xml:space="preserve"> </v>
      </c>
      <c r="R8" s="21" t="str">
        <f>IFERROR(VLOOKUP($O$7,'ISATe Hide'!$AE$15:$AH$17,3,FALSE)," ")</f>
        <v xml:space="preserve"> </v>
      </c>
      <c r="S8" s="21" t="str">
        <f>IFERROR(VLOOKUP($O$7,'ISATe Hide'!$AE$15:$AH$17,4,FALSE)," ")</f>
        <v xml:space="preserve"> </v>
      </c>
      <c r="T8" s="21"/>
    </row>
    <row r="9" spans="1:20" x14ac:dyDescent="0.3">
      <c r="A9" s="7" t="s">
        <v>55</v>
      </c>
      <c r="B9" s="34"/>
      <c r="C9" t="s">
        <v>84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3">
      <c r="I10" s="44" t="s">
        <v>42</v>
      </c>
      <c r="J10" s="44"/>
      <c r="K10" s="16"/>
      <c r="L10" s="16"/>
      <c r="M10" s="16"/>
      <c r="N10" s="16"/>
      <c r="O10" s="16"/>
      <c r="P10" s="44" t="s">
        <v>19</v>
      </c>
      <c r="Q10" s="44"/>
      <c r="R10" s="16"/>
      <c r="S10" s="16"/>
      <c r="T10" s="16"/>
    </row>
    <row r="11" spans="1:20" x14ac:dyDescent="0.3">
      <c r="A11" s="11" t="s">
        <v>59</v>
      </c>
      <c r="I11" s="20" t="s">
        <v>37</v>
      </c>
      <c r="J11" s="22" t="str">
        <f>IFERROR($B$7*EXP(J3+K3*LN(L3*$B$4))/2," ")</f>
        <v xml:space="preserve"> </v>
      </c>
      <c r="K11" s="16"/>
      <c r="L11" s="16"/>
      <c r="M11" s="16"/>
      <c r="N11" s="16"/>
      <c r="O11" s="16"/>
      <c r="P11" s="20" t="s">
        <v>37</v>
      </c>
      <c r="Q11" s="22" t="str">
        <f>IFERROR($B$7*EXP(Q3+R3*LN(S3*$B$4))/2," ")</f>
        <v xml:space="preserve"> </v>
      </c>
      <c r="R11" s="16"/>
      <c r="S11" s="16"/>
      <c r="T11" s="16"/>
    </row>
    <row r="12" spans="1:20" x14ac:dyDescent="0.3">
      <c r="I12" s="20" t="s">
        <v>38</v>
      </c>
      <c r="J12" s="22" t="str">
        <f>IFERROR($B$7*EXP(J4+K4*LN(L4*$B$4))/2," ")</f>
        <v xml:space="preserve"> </v>
      </c>
      <c r="K12" s="16"/>
      <c r="L12" s="16"/>
      <c r="M12" s="16"/>
      <c r="N12" s="16"/>
      <c r="O12" s="16"/>
      <c r="P12" s="20" t="s">
        <v>38</v>
      </c>
      <c r="Q12" s="22" t="str">
        <f>IFERROR($B$7*EXP(Q4+R4*LN(S4*$B$4))/2," ")</f>
        <v xml:space="preserve"> </v>
      </c>
      <c r="R12" s="16"/>
      <c r="S12" s="16"/>
      <c r="T12" s="16"/>
    </row>
    <row r="13" spans="1:20" x14ac:dyDescent="0.3">
      <c r="I13" s="20" t="s">
        <v>51</v>
      </c>
      <c r="J13" s="22" t="str">
        <f>IFERROR($B$8*EXP(J7+K7*LN(L7*$B$5)+M7*LN(L7*B5))," ")</f>
        <v xml:space="preserve"> </v>
      </c>
      <c r="K13" s="16"/>
      <c r="L13" s="16"/>
      <c r="M13" s="16"/>
      <c r="N13" s="16"/>
      <c r="O13" s="16"/>
      <c r="P13" s="20" t="s">
        <v>51</v>
      </c>
      <c r="Q13" s="22" t="str">
        <f>IFERROR($B$8*EXP(Q7+R7*LN(S7*$B$5)+T7*LN(S7*$B$5))," ")</f>
        <v xml:space="preserve"> </v>
      </c>
      <c r="R13" s="16"/>
      <c r="S13" s="16"/>
      <c r="T13" s="16"/>
    </row>
    <row r="14" spans="1:20" ht="23.4" x14ac:dyDescent="0.45">
      <c r="A14" s="46" t="s">
        <v>89</v>
      </c>
      <c r="B14" s="46"/>
      <c r="C14" s="46"/>
      <c r="D14" s="25"/>
      <c r="E14" s="27"/>
      <c r="I14" s="20" t="s">
        <v>52</v>
      </c>
      <c r="J14" s="22" t="str">
        <f>IFERROR($B$8*EXP(J8+K8*LN(L8*$B$5))," ")</f>
        <v xml:space="preserve"> </v>
      </c>
      <c r="K14" s="16"/>
      <c r="L14" s="16"/>
      <c r="M14" s="16"/>
      <c r="N14" s="16"/>
      <c r="O14" s="16"/>
      <c r="P14" s="20" t="s">
        <v>52</v>
      </c>
      <c r="Q14" s="22" t="str">
        <f>IFERROR($B$8*EXP(Q8+R8*LN(S8*$B$5))," ")</f>
        <v xml:space="preserve"> </v>
      </c>
      <c r="R14" s="16"/>
      <c r="S14" s="16"/>
      <c r="T14" s="16"/>
    </row>
    <row r="15" spans="1:20" ht="18" x14ac:dyDescent="0.35">
      <c r="A15" s="28" t="s">
        <v>82</v>
      </c>
      <c r="B15" s="29" t="str">
        <f>IFERROR((J15/2*J16+J13+J14)/((J11+J12)/2)," ")</f>
        <v xml:space="preserve"> </v>
      </c>
      <c r="I15" s="20" t="s">
        <v>39</v>
      </c>
      <c r="J15" s="22" t="str">
        <f>IFERROR($B$7*EXP(J5+K5*LN(L5*$B$4))," ")</f>
        <v xml:space="preserve"> </v>
      </c>
      <c r="K15" s="16"/>
      <c r="L15" s="16"/>
      <c r="M15" s="16"/>
      <c r="N15" s="16"/>
      <c r="O15" s="16"/>
      <c r="P15" s="20" t="s">
        <v>39</v>
      </c>
      <c r="Q15" s="22" t="str">
        <f>IFERROR($B$7*EXP(Q5+R5*LN(S5*$B$4))," ")</f>
        <v xml:space="preserve"> </v>
      </c>
      <c r="R15" s="16"/>
      <c r="S15" s="16"/>
      <c r="T15" s="16"/>
    </row>
    <row r="16" spans="1:20" ht="18" x14ac:dyDescent="0.35">
      <c r="A16" s="30"/>
      <c r="B16" s="41"/>
      <c r="I16" s="23" t="s">
        <v>40</v>
      </c>
      <c r="J16" s="22" t="str">
        <f>IFERROR(EXP(J6*F6+K6/$B7+M6*LN(L6*$B5))," ")</f>
        <v xml:space="preserve"> </v>
      </c>
      <c r="K16" s="16"/>
      <c r="L16" s="16"/>
      <c r="M16" s="16"/>
      <c r="N16" s="16"/>
      <c r="O16" s="16"/>
      <c r="P16" s="23" t="s">
        <v>40</v>
      </c>
      <c r="Q16" s="22" t="str">
        <f>IFERROR(EXP(Q6*F6+R6/$B7+T6*LN(S6*$B5))," ")</f>
        <v xml:space="preserve"> </v>
      </c>
      <c r="R16" s="16"/>
      <c r="S16" s="16"/>
      <c r="T16" s="16"/>
    </row>
    <row r="17" spans="1:18" ht="18" x14ac:dyDescent="0.35">
      <c r="A17" s="28" t="s">
        <v>41</v>
      </c>
      <c r="B17" s="29" t="str">
        <f>IFERROR((Q15/2*Q16+Q13+Q14)/((Q11+Q12)/2)," ")</f>
        <v xml:space="preserve"> </v>
      </c>
      <c r="J17" s="6"/>
      <c r="Q17" s="6"/>
    </row>
    <row r="18" spans="1:18" x14ac:dyDescent="0.3">
      <c r="B18" s="6"/>
      <c r="I18" s="16" t="s">
        <v>98</v>
      </c>
    </row>
    <row r="19" spans="1:18" ht="18" x14ac:dyDescent="0.35">
      <c r="A19" s="28" t="s">
        <v>97</v>
      </c>
      <c r="B19" s="29" t="str">
        <f>IFERROR((J15/2*J16+J13+J14+Q15/2*Q16+Q13+Q14)/((J11+J12+Q11+Q12)/2),"")</f>
        <v/>
      </c>
    </row>
    <row r="21" spans="1:18" ht="72" x14ac:dyDescent="0.3">
      <c r="B21" s="42" t="s">
        <v>98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3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3"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3"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3"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3"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3"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3"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sheetProtection algorithmName="SHA-512" hashValue="zknLm3j+bi9Y2IWqkd6ILOx2u71uiwj2IJbAPF1yFIpRt32mSAPt/b+JwVyl5LvFRAhxbf4pNKlooWaOUha6iw==" saltValue="rBGyJXM4bSIJ1w7n0L7v3g==" spinCount="100000" sheet="1" objects="1" scenarios="1"/>
  <mergeCells count="6">
    <mergeCell ref="A14:C14"/>
    <mergeCell ref="A1:C1"/>
    <mergeCell ref="J1:M1"/>
    <mergeCell ref="Q1:T1"/>
    <mergeCell ref="I10:J10"/>
    <mergeCell ref="P10:Q10"/>
  </mergeCells>
  <dataValidations count="4">
    <dataValidation type="list" allowBlank="1" showInputMessage="1" showErrorMessage="1" sqref="B2" xr:uid="{00000000-0002-0000-0200-000000000000}">
      <formula1>Area</formula1>
    </dataValidation>
    <dataValidation type="list" allowBlank="1" showInputMessage="1" showErrorMessage="1" sqref="B3" xr:uid="{00000000-0002-0000-0200-000001000000}">
      <formula1>Lanes</formula1>
    </dataValidation>
    <dataValidation type="list" allowBlank="1" showInputMessage="1" showErrorMessage="1" sqref="B6" xr:uid="{00000000-0002-0000-0200-000002000000}">
      <formula1>Yes</formula1>
    </dataValidation>
    <dataValidation type="list" allowBlank="1" showInputMessage="1" showErrorMessage="1" sqref="B9" xr:uid="{00000000-0002-0000-0200-000003000000}">
      <formula1>RLanes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workbookViewId="0">
      <selection sqref="A1:C1"/>
    </sheetView>
  </sheetViews>
  <sheetFormatPr defaultRowHeight="14.4" x14ac:dyDescent="0.3"/>
  <cols>
    <col min="1" max="1" width="28.5546875" bestFit="1" customWidth="1"/>
    <col min="2" max="2" width="33.109375" customWidth="1"/>
    <col min="3" max="4" width="14" customWidth="1"/>
    <col min="5" max="21" width="9.109375" hidden="1" customWidth="1"/>
    <col min="22" max="22" width="0" hidden="1" customWidth="1"/>
  </cols>
  <sheetData>
    <row r="1" spans="1:20" ht="23.4" x14ac:dyDescent="0.45">
      <c r="A1" s="46" t="s">
        <v>6</v>
      </c>
      <c r="B1" s="46"/>
      <c r="C1" s="46"/>
      <c r="D1" s="25"/>
      <c r="E1" s="16"/>
      <c r="F1" s="16"/>
      <c r="G1" s="16"/>
      <c r="H1" s="16"/>
      <c r="I1" s="16"/>
      <c r="J1" s="44" t="s">
        <v>35</v>
      </c>
      <c r="K1" s="44"/>
      <c r="L1" s="44"/>
      <c r="M1" s="44"/>
      <c r="N1" s="16"/>
      <c r="O1" s="16"/>
      <c r="P1" s="16"/>
      <c r="Q1" s="44" t="s">
        <v>36</v>
      </c>
      <c r="R1" s="44"/>
      <c r="S1" s="44"/>
      <c r="T1" s="44"/>
    </row>
    <row r="2" spans="1:20" x14ac:dyDescent="0.3">
      <c r="A2" s="7" t="s">
        <v>20</v>
      </c>
      <c r="B2" s="34"/>
      <c r="C2" t="s">
        <v>83</v>
      </c>
      <c r="E2" s="16"/>
      <c r="F2" s="16"/>
      <c r="G2" s="16"/>
      <c r="H2" s="16"/>
      <c r="I2" s="20" t="str">
        <f>CONCATENATE($B2,$B3)</f>
        <v/>
      </c>
      <c r="J2" s="16" t="s">
        <v>24</v>
      </c>
      <c r="K2" s="16" t="s">
        <v>25</v>
      </c>
      <c r="L2" s="16" t="s">
        <v>26</v>
      </c>
      <c r="M2" s="16" t="s">
        <v>27</v>
      </c>
      <c r="N2" s="16"/>
      <c r="O2" s="16"/>
      <c r="P2" s="20" t="str">
        <f>CONCATENATE($B2,$B3)</f>
        <v/>
      </c>
      <c r="Q2" s="16" t="s">
        <v>24</v>
      </c>
      <c r="R2" s="16" t="s">
        <v>25</v>
      </c>
      <c r="S2" s="16" t="s">
        <v>26</v>
      </c>
      <c r="T2" s="16" t="s">
        <v>27</v>
      </c>
    </row>
    <row r="3" spans="1:20" x14ac:dyDescent="0.3">
      <c r="A3" s="7" t="s">
        <v>23</v>
      </c>
      <c r="B3" s="34"/>
      <c r="C3" t="s">
        <v>84</v>
      </c>
      <c r="E3" s="16"/>
      <c r="F3" s="16"/>
      <c r="G3" s="16"/>
      <c r="H3" s="16"/>
      <c r="I3" s="16" t="s">
        <v>29</v>
      </c>
      <c r="J3" s="21" t="str">
        <f>IFERROR(VLOOKUP($I2,'ISATe Hide'!$I$28:$L$34,2,FALSE)," ")</f>
        <v xml:space="preserve"> </v>
      </c>
      <c r="K3" s="21" t="str">
        <f>IFERROR(VLOOKUP($I2,'ISATe Hide'!$I$28:$L$34,3,FALSE)," ")</f>
        <v xml:space="preserve"> </v>
      </c>
      <c r="L3" s="21" t="str">
        <f>IFERROR(VLOOKUP($I2,'ISATe Hide'!$I$28:$L$34,4,FALSE)," ")</f>
        <v xml:space="preserve"> </v>
      </c>
      <c r="M3" s="21"/>
      <c r="N3" s="16"/>
      <c r="O3" s="16"/>
      <c r="P3" s="16" t="s">
        <v>29</v>
      </c>
      <c r="Q3" s="21" t="str">
        <f>IFERROR(VLOOKUP($P$2,'ISATe Hide'!$I$39:$L$45,2,FALSE)," ")</f>
        <v xml:space="preserve"> </v>
      </c>
      <c r="R3" s="21" t="str">
        <f>IFERROR(VLOOKUP($P$2,'ISATe Hide'!$I$39:$L$45,3,FALSE)," ")</f>
        <v xml:space="preserve"> </v>
      </c>
      <c r="S3" s="21" t="str">
        <f>IFERROR(VLOOKUP($P$2,'ISATe Hide'!$I$39:$L$45,4,FALSE)," ")</f>
        <v xml:space="preserve"> </v>
      </c>
      <c r="T3" s="21"/>
    </row>
    <row r="4" spans="1:20" x14ac:dyDescent="0.3">
      <c r="A4" s="7" t="s">
        <v>31</v>
      </c>
      <c r="B4" s="34"/>
      <c r="C4" t="s">
        <v>8</v>
      </c>
      <c r="E4" s="16"/>
      <c r="F4" s="16"/>
      <c r="G4" s="16"/>
      <c r="H4" s="16"/>
      <c r="I4" s="16" t="s">
        <v>28</v>
      </c>
      <c r="J4" s="21" t="str">
        <f>IFERROR(VLOOKUP($I$2,'ISATe Hide'!$O$28:$R$34,2,FALSE)," ")</f>
        <v xml:space="preserve"> </v>
      </c>
      <c r="K4" s="21" t="str">
        <f>IFERROR(VLOOKUP($I$2,'ISATe Hide'!$O$28:$R$34,3,FALSE)," ")</f>
        <v xml:space="preserve"> </v>
      </c>
      <c r="L4" s="21" t="str">
        <f>IFERROR(VLOOKUP($I$2,'ISATe Hide'!$O$28:$R$34,4,FALSE)," ")</f>
        <v xml:space="preserve"> </v>
      </c>
      <c r="M4" s="21"/>
      <c r="N4" s="16"/>
      <c r="O4" s="16"/>
      <c r="P4" s="16" t="s">
        <v>28</v>
      </c>
      <c r="Q4" s="21" t="str">
        <f>IFERROR(VLOOKUP($P$2,'ISATe Hide'!$O$39:$R$45,2,FALSE)," ")</f>
        <v xml:space="preserve"> </v>
      </c>
      <c r="R4" s="21" t="str">
        <f>IFERROR(VLOOKUP($P$2,'ISATe Hide'!$O$39:$R$45,3,FALSE)," ")</f>
        <v xml:space="preserve"> </v>
      </c>
      <c r="S4" s="21" t="str">
        <f>IFERROR(VLOOKUP($P$2,'ISATe Hide'!$O$39:$R$45,4,FALSE)," ")</f>
        <v xml:space="preserve"> </v>
      </c>
      <c r="T4" s="21"/>
    </row>
    <row r="5" spans="1:20" x14ac:dyDescent="0.3">
      <c r="A5" s="7" t="s">
        <v>32</v>
      </c>
      <c r="B5" s="34"/>
      <c r="C5" t="s">
        <v>8</v>
      </c>
      <c r="E5" s="16"/>
      <c r="F5" s="16"/>
      <c r="G5" s="16"/>
      <c r="H5" s="16"/>
      <c r="I5" s="16" t="s">
        <v>30</v>
      </c>
      <c r="J5" s="21" t="str">
        <f>IFERROR(VLOOKUP($I$2,'ISATe Hide'!$T$28:$W$34,2,FALSE)," ")</f>
        <v xml:space="preserve"> </v>
      </c>
      <c r="K5" s="21" t="str">
        <f>IFERROR(VLOOKUP($I$2,'ISATe Hide'!$T$28:$W$34,3,FALSE)," ")</f>
        <v xml:space="preserve"> </v>
      </c>
      <c r="L5" s="21" t="str">
        <f>IFERROR(VLOOKUP($I$2,'ISATe Hide'!$T$28:$W$34,4,FALSE)," ")</f>
        <v xml:space="preserve"> </v>
      </c>
      <c r="M5" s="21"/>
      <c r="N5" s="16"/>
      <c r="O5" s="16"/>
      <c r="P5" s="16" t="s">
        <v>30</v>
      </c>
      <c r="Q5" s="21" t="str">
        <f>IFERROR(VLOOKUP($P$2,'ISATe Hide'!$T$39:$W$45,2,FALSE)," ")</f>
        <v xml:space="preserve"> </v>
      </c>
      <c r="R5" s="21" t="str">
        <f>IFERROR(VLOOKUP($P$2,'ISATe Hide'!$T$39:$W$45,3,FALSE)," ")</f>
        <v xml:space="preserve"> </v>
      </c>
      <c r="S5" s="21" t="str">
        <f>IFERROR(VLOOKUP($P$2,'ISATe Hide'!$T$39:$W$45,4,FALSE)," ")</f>
        <v xml:space="preserve"> </v>
      </c>
      <c r="T5" s="21"/>
    </row>
    <row r="6" spans="1:20" x14ac:dyDescent="0.3">
      <c r="A6" s="7" t="s">
        <v>33</v>
      </c>
      <c r="B6" s="34"/>
      <c r="C6" t="s">
        <v>85</v>
      </c>
      <c r="E6" s="20" t="s">
        <v>50</v>
      </c>
      <c r="F6" s="16">
        <f>IF(B6="yes",1,0)</f>
        <v>0</v>
      </c>
      <c r="G6" s="16"/>
      <c r="H6" s="16"/>
      <c r="I6" s="16" t="s">
        <v>0</v>
      </c>
      <c r="J6" s="21">
        <v>0.59399999999999997</v>
      </c>
      <c r="K6" s="21">
        <v>1.1599999999999999E-2</v>
      </c>
      <c r="L6" s="21"/>
      <c r="M6" s="21"/>
      <c r="N6" s="16"/>
      <c r="O6" s="16"/>
      <c r="P6" s="16" t="s">
        <v>0</v>
      </c>
      <c r="Q6" s="21">
        <v>0.82399999999999995</v>
      </c>
      <c r="R6" s="21">
        <v>0</v>
      </c>
      <c r="S6" s="21"/>
      <c r="T6" s="21"/>
    </row>
    <row r="7" spans="1:20" x14ac:dyDescent="0.3">
      <c r="A7" s="7" t="s">
        <v>86</v>
      </c>
      <c r="B7" s="34"/>
      <c r="C7" t="s">
        <v>88</v>
      </c>
      <c r="E7" s="16"/>
      <c r="F7" s="16"/>
      <c r="G7" s="16"/>
      <c r="H7" s="16" t="str">
        <f>CONCATENATE($B2,$B9)</f>
        <v/>
      </c>
      <c r="I7" s="16" t="s">
        <v>54</v>
      </c>
      <c r="J7" s="21" t="str">
        <f>IFERROR(VLOOKUP($H$7,'ISATe Hide'!$Y$28:$AC$30,2,FALSE)," ")</f>
        <v xml:space="preserve"> </v>
      </c>
      <c r="K7" s="21" t="str">
        <f>IFERROR(VLOOKUP($H$7,'ISATe Hide'!$Y$28:$AC$30,3,FALSE)," ")</f>
        <v xml:space="preserve"> </v>
      </c>
      <c r="L7" s="21" t="str">
        <f>IFERROR(VLOOKUP($H$7,'ISATe Hide'!$Y$28:$AC$30,4,FALSE)," ")</f>
        <v xml:space="preserve"> </v>
      </c>
      <c r="M7" s="21" t="str">
        <f>IFERROR(VLOOKUP($H$7,'ISATe Hide'!$Y$28:$AC$30,5,FALSE)," ")</f>
        <v xml:space="preserve"> </v>
      </c>
      <c r="N7" s="16"/>
      <c r="O7" s="16" t="str">
        <f>CONCATENATE($B2,$B9)</f>
        <v/>
      </c>
      <c r="P7" s="16" t="s">
        <v>54</v>
      </c>
      <c r="Q7" s="21" t="str">
        <f>IFERROR(VLOOKUP($O$7,'ISATe Hide'!$Y$39:$AC$41,2,FALSE)," ")</f>
        <v xml:space="preserve"> </v>
      </c>
      <c r="R7" s="21" t="str">
        <f>IFERROR(VLOOKUP($O$7,'ISATe Hide'!$Y$39:$AC$41,3,FALSE)," ")</f>
        <v xml:space="preserve"> </v>
      </c>
      <c r="S7" s="21" t="str">
        <f>IFERROR(VLOOKUP($O$7,'ISATe Hide'!$Y$39:$AC$41,4,FALSE)," ")</f>
        <v xml:space="preserve"> </v>
      </c>
      <c r="T7" s="21" t="str">
        <f>IFERROR(VLOOKUP($O$7,'ISATe Hide'!$Y$39:$AC$41,5,FALSE)," ")</f>
        <v xml:space="preserve"> </v>
      </c>
    </row>
    <row r="8" spans="1:20" x14ac:dyDescent="0.3">
      <c r="A8" s="7" t="s">
        <v>87</v>
      </c>
      <c r="B8" s="34"/>
      <c r="C8" t="s">
        <v>88</v>
      </c>
      <c r="E8" s="16"/>
      <c r="F8" s="16"/>
      <c r="G8" s="16"/>
      <c r="H8" s="16"/>
      <c r="I8" s="16" t="s">
        <v>53</v>
      </c>
      <c r="J8" s="21" t="str">
        <f>IFERROR(VLOOKUP($H$7,'ISATe Hide'!$AE$28:$AH$30,2,FALSE)," ")</f>
        <v xml:space="preserve"> </v>
      </c>
      <c r="K8" s="21" t="str">
        <f>IFERROR(VLOOKUP($H$7,'ISATe Hide'!$AE$28:$AH$30,3,FALSE)," ")</f>
        <v xml:space="preserve"> </v>
      </c>
      <c r="L8" s="21" t="str">
        <f>IFERROR(VLOOKUP($H$7,'ISATe Hide'!$AE$28:$AH$30,4,FALSE)," ")</f>
        <v xml:space="preserve"> </v>
      </c>
      <c r="M8" s="21"/>
      <c r="N8" s="16"/>
      <c r="O8" s="16"/>
      <c r="P8" s="16" t="s">
        <v>53</v>
      </c>
      <c r="Q8" s="21" t="str">
        <f>IFERROR(VLOOKUP($O$7,'ISATe Hide'!$AE$39:$AH$41,2,FALSE)," ")</f>
        <v xml:space="preserve"> </v>
      </c>
      <c r="R8" s="21" t="str">
        <f>IFERROR(VLOOKUP($O$7,'ISATe Hide'!$AE$39:$AH$41,3,FALSE)," ")</f>
        <v xml:space="preserve"> </v>
      </c>
      <c r="S8" s="21" t="str">
        <f>IFERROR(VLOOKUP($O$7,'ISATe Hide'!$AE$39:$AH$41,4,FALSE)," ")</f>
        <v xml:space="preserve"> </v>
      </c>
      <c r="T8" s="21"/>
    </row>
    <row r="9" spans="1:20" x14ac:dyDescent="0.3">
      <c r="A9" s="7" t="s">
        <v>55</v>
      </c>
      <c r="B9" s="34"/>
      <c r="C9" t="s">
        <v>84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3">
      <c r="E10" s="16"/>
      <c r="F10" s="16"/>
      <c r="G10" s="16"/>
      <c r="H10" s="16"/>
      <c r="I10" s="44" t="s">
        <v>42</v>
      </c>
      <c r="J10" s="44"/>
      <c r="K10" s="16"/>
      <c r="L10" s="16"/>
      <c r="M10" s="16"/>
      <c r="N10" s="16"/>
      <c r="O10" s="16"/>
      <c r="P10" s="44" t="s">
        <v>19</v>
      </c>
      <c r="Q10" s="44"/>
      <c r="R10" s="16"/>
      <c r="S10" s="16"/>
      <c r="T10" s="16"/>
    </row>
    <row r="11" spans="1:20" x14ac:dyDescent="0.3">
      <c r="A11" s="11" t="s">
        <v>59</v>
      </c>
      <c r="E11" s="16"/>
      <c r="F11" s="16"/>
      <c r="G11" s="16"/>
      <c r="H11" s="16" t="s">
        <v>99</v>
      </c>
      <c r="I11" s="20" t="s">
        <v>37</v>
      </c>
      <c r="J11" s="22" t="str">
        <f>IFERROR($B7*EXP(J3+K3*LN(L3*$B4))/2," ")</f>
        <v xml:space="preserve"> </v>
      </c>
      <c r="K11" s="16"/>
      <c r="L11" s="16"/>
      <c r="M11" s="16"/>
      <c r="N11" s="16"/>
      <c r="O11" s="16" t="s">
        <v>99</v>
      </c>
      <c r="P11" s="20" t="s">
        <v>37</v>
      </c>
      <c r="Q11" s="22" t="str">
        <f>IFERROR($B7*EXP(Q3+R3*LN(S3*$B4))/2," ")</f>
        <v xml:space="preserve"> </v>
      </c>
      <c r="R11" s="16"/>
      <c r="S11" s="16"/>
      <c r="T11" s="16"/>
    </row>
    <row r="12" spans="1:20" x14ac:dyDescent="0.3">
      <c r="E12" s="16"/>
      <c r="F12" s="16"/>
      <c r="G12" s="16"/>
      <c r="H12" s="16" t="s">
        <v>99</v>
      </c>
      <c r="I12" s="20" t="s">
        <v>38</v>
      </c>
      <c r="J12" s="22" t="str">
        <f>IFERROR($B7*EXP(J4+K4*LN(L4*$B4))/2," ")</f>
        <v xml:space="preserve"> </v>
      </c>
      <c r="K12" s="16"/>
      <c r="L12" s="16"/>
      <c r="M12" s="16"/>
      <c r="N12" s="16"/>
      <c r="O12" s="16" t="s">
        <v>99</v>
      </c>
      <c r="P12" s="20" t="s">
        <v>38</v>
      </c>
      <c r="Q12" s="22" t="str">
        <f>IFERROR($B7*EXP(Q4+R4*LN(S4*$B4))/2," ")</f>
        <v xml:space="preserve"> </v>
      </c>
      <c r="R12" s="16"/>
      <c r="S12" s="16"/>
      <c r="T12" s="16"/>
    </row>
    <row r="13" spans="1:20" ht="23.4" x14ac:dyDescent="0.45">
      <c r="A13" s="46" t="s">
        <v>89</v>
      </c>
      <c r="B13" s="46"/>
      <c r="C13" s="46"/>
      <c r="D13" s="25"/>
      <c r="E13" s="16"/>
      <c r="F13" s="16"/>
      <c r="G13" s="16"/>
      <c r="H13" s="16" t="s">
        <v>100</v>
      </c>
      <c r="I13" s="20" t="s">
        <v>51</v>
      </c>
      <c r="J13" s="22" t="str">
        <f>IFERROR($B7*EXP(J7+K7*LN(L7*$B4)+M7*(L7*$B4))," ")</f>
        <v xml:space="preserve"> </v>
      </c>
      <c r="K13" s="16"/>
      <c r="L13" s="16"/>
      <c r="M13" s="16"/>
      <c r="N13" s="16"/>
      <c r="O13" s="16" t="s">
        <v>100</v>
      </c>
      <c r="P13" s="20" t="s">
        <v>51</v>
      </c>
      <c r="Q13" s="22" t="str">
        <f>IFERROR($B7*EXP(Q7+R7*LN(S7*$B4)+T7*(S7*$B4))," ")</f>
        <v xml:space="preserve"> </v>
      </c>
      <c r="R13" s="16"/>
      <c r="S13" s="16"/>
      <c r="T13" s="16"/>
    </row>
    <row r="14" spans="1:20" ht="18" x14ac:dyDescent="0.35">
      <c r="A14" s="28" t="s">
        <v>82</v>
      </c>
      <c r="B14" s="14" t="str">
        <f>IFERROR((J15/2*J16+J13+J14)/((J11+J12)/2)," ")</f>
        <v xml:space="preserve"> </v>
      </c>
      <c r="E14" s="16"/>
      <c r="F14" s="16"/>
      <c r="G14" s="16"/>
      <c r="H14" s="16" t="s">
        <v>100</v>
      </c>
      <c r="I14" s="20" t="s">
        <v>52</v>
      </c>
      <c r="J14" s="22" t="str">
        <f>IFERROR($B7*EXP(J8+K8*LN(L8*$B4))," ")</f>
        <v xml:space="preserve"> </v>
      </c>
      <c r="K14" s="16"/>
      <c r="L14" s="16"/>
      <c r="M14" s="16"/>
      <c r="N14" s="16"/>
      <c r="O14" s="16" t="s">
        <v>100</v>
      </c>
      <c r="P14" s="20" t="s">
        <v>52</v>
      </c>
      <c r="Q14" s="22" t="str">
        <f>IFERROR($B7*EXP(Q8+R8*LN(S8*$B4))," ")</f>
        <v xml:space="preserve"> </v>
      </c>
      <c r="R14" s="16"/>
      <c r="S14" s="16"/>
      <c r="T14" s="16"/>
    </row>
    <row r="15" spans="1:20" ht="18" x14ac:dyDescent="0.35">
      <c r="A15" s="30"/>
      <c r="E15" s="16"/>
      <c r="F15" s="16"/>
      <c r="G15" s="16"/>
      <c r="H15" s="16" t="s">
        <v>100</v>
      </c>
      <c r="I15" s="20" t="s">
        <v>39</v>
      </c>
      <c r="J15" s="22" t="str">
        <f>IFERROR($B7*EXP(J5+K5*LN(L5*$B4))," ")</f>
        <v xml:space="preserve"> </v>
      </c>
      <c r="K15" s="16"/>
      <c r="L15" s="16"/>
      <c r="M15" s="16"/>
      <c r="N15" s="16"/>
      <c r="O15" s="16" t="s">
        <v>100</v>
      </c>
      <c r="P15" s="20" t="s">
        <v>39</v>
      </c>
      <c r="Q15" s="22" t="str">
        <f>IFERROR($B7*EXP(Q5+R5*LN(S5*$B4))," ")</f>
        <v xml:space="preserve"> </v>
      </c>
      <c r="R15" s="16"/>
      <c r="S15" s="16"/>
      <c r="T15" s="16"/>
    </row>
    <row r="16" spans="1:20" ht="18" x14ac:dyDescent="0.35">
      <c r="A16" s="28" t="s">
        <v>41</v>
      </c>
      <c r="B16" s="14" t="str">
        <f>IFERROR((Q15/2*Q16+Q13+Q14)/((Q11+Q12)/2)," ")</f>
        <v xml:space="preserve"> </v>
      </c>
      <c r="E16" s="16"/>
      <c r="F16" s="16"/>
      <c r="G16" s="16"/>
      <c r="H16" s="16" t="s">
        <v>100</v>
      </c>
      <c r="I16" s="23" t="s">
        <v>40</v>
      </c>
      <c r="J16" s="22" t="str">
        <f>IFERROR(EXP(J6*$F6+K6/$B8)," ")</f>
        <v xml:space="preserve"> </v>
      </c>
      <c r="K16" s="16"/>
      <c r="L16" s="16"/>
      <c r="M16" s="16"/>
      <c r="N16" s="16"/>
      <c r="O16" s="16" t="s">
        <v>100</v>
      </c>
      <c r="P16" s="23" t="s">
        <v>40</v>
      </c>
      <c r="Q16" s="22" t="str">
        <f>IFERROR(EXP(Q6*$F6+R6/$B8)," ")</f>
        <v xml:space="preserve"> </v>
      </c>
      <c r="R16" s="16"/>
      <c r="S16" s="16"/>
      <c r="T16" s="16"/>
    </row>
    <row r="17" spans="1:20" x14ac:dyDescent="0.3">
      <c r="E17" s="16"/>
      <c r="F17" s="16"/>
      <c r="G17" s="16"/>
      <c r="H17" s="16"/>
      <c r="I17" s="16"/>
      <c r="J17" s="31"/>
      <c r="K17" s="16"/>
      <c r="L17" s="16"/>
      <c r="M17" s="16"/>
      <c r="N17" s="16"/>
      <c r="O17" s="16"/>
      <c r="P17" s="16"/>
      <c r="Q17" s="31"/>
      <c r="R17" s="16"/>
      <c r="S17" s="16"/>
      <c r="T17" s="16"/>
    </row>
    <row r="18" spans="1:20" ht="18" x14ac:dyDescent="0.35">
      <c r="A18" s="28" t="s">
        <v>97</v>
      </c>
      <c r="B18" s="14" t="str">
        <f>IFERROR((J15/2*J16+J13+J14+Q15/2*Q16+Q13+Q14)/((J11+J12+Q11+Q12)/2),"")</f>
        <v/>
      </c>
      <c r="E18" s="16"/>
      <c r="F18" s="16"/>
      <c r="G18" s="16"/>
      <c r="H18" s="16"/>
      <c r="I18" s="16" t="s">
        <v>98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3"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ht="72" x14ac:dyDescent="0.3">
      <c r="B20" s="42" t="s">
        <v>98</v>
      </c>
    </row>
    <row r="21" spans="1:20" x14ac:dyDescent="0.3"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0" x14ac:dyDescent="0.3"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0" x14ac:dyDescent="0.3"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20" x14ac:dyDescent="0.3"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20" x14ac:dyDescent="0.3"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20" x14ac:dyDescent="0.3"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20" x14ac:dyDescent="0.3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20" x14ac:dyDescent="0.3"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20" x14ac:dyDescent="0.3"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sheetProtection algorithmName="SHA-512" hashValue="byrhkboM+WtYpQRR4yTjKK+qSH2Ly4GL9p3yIr3ivAQnxgdq2G85kTEnqSlwwZIpMIWciXTIscfkigBgoEk0NQ==" saltValue="RkFAkTyR5VtDYY6yvrdU+A==" spinCount="100000" sheet="1" objects="1" scenarios="1"/>
  <mergeCells count="6">
    <mergeCell ref="A13:C13"/>
    <mergeCell ref="J1:M1"/>
    <mergeCell ref="Q1:T1"/>
    <mergeCell ref="I10:J10"/>
    <mergeCell ref="P10:Q10"/>
    <mergeCell ref="A1:C1"/>
  </mergeCells>
  <dataValidations count="4">
    <dataValidation type="list" allowBlank="1" showInputMessage="1" showErrorMessage="1" sqref="B9" xr:uid="{00000000-0002-0000-0300-000000000000}">
      <formula1>RLanes</formula1>
    </dataValidation>
    <dataValidation type="list" allowBlank="1" showInputMessage="1" showErrorMessage="1" sqref="B6" xr:uid="{00000000-0002-0000-0300-000001000000}">
      <formula1>Yes</formula1>
    </dataValidation>
    <dataValidation type="list" allowBlank="1" showInputMessage="1" showErrorMessage="1" sqref="B3" xr:uid="{00000000-0002-0000-0300-000002000000}">
      <formula1>Lanes</formula1>
    </dataValidation>
    <dataValidation type="list" allowBlank="1" showInputMessage="1" showErrorMessage="1" sqref="B2" xr:uid="{00000000-0002-0000-0300-000003000000}">
      <formula1>Area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5"/>
  <sheetViews>
    <sheetView topLeftCell="F1" workbookViewId="0">
      <selection activeCell="AA3" sqref="AA3"/>
    </sheetView>
  </sheetViews>
  <sheetFormatPr defaultRowHeight="14.4" x14ac:dyDescent="0.3"/>
  <sheetData>
    <row r="1" spans="1:34" x14ac:dyDescent="0.3">
      <c r="A1" t="s">
        <v>1</v>
      </c>
      <c r="F1" t="s">
        <v>5</v>
      </c>
      <c r="H1" t="s">
        <v>60</v>
      </c>
      <c r="J1" s="48" t="s">
        <v>29</v>
      </c>
      <c r="K1" s="48"/>
      <c r="L1" s="48"/>
      <c r="P1" s="48" t="s">
        <v>28</v>
      </c>
      <c r="Q1" s="48"/>
      <c r="R1" s="48"/>
      <c r="U1" s="48" t="s">
        <v>30</v>
      </c>
      <c r="V1" s="48"/>
      <c r="W1" s="48"/>
      <c r="Z1" s="48" t="s">
        <v>54</v>
      </c>
      <c r="AA1" s="48"/>
      <c r="AB1" s="48"/>
      <c r="AC1" s="48"/>
      <c r="AF1" s="48" t="s">
        <v>53</v>
      </c>
      <c r="AG1" s="48"/>
      <c r="AH1" s="48"/>
    </row>
    <row r="2" spans="1:34" x14ac:dyDescent="0.3">
      <c r="A2" t="s">
        <v>2</v>
      </c>
      <c r="C2" t="s">
        <v>3</v>
      </c>
      <c r="F2" t="s">
        <v>34</v>
      </c>
      <c r="J2" s="48" t="s">
        <v>42</v>
      </c>
      <c r="K2" s="48"/>
      <c r="L2" s="48"/>
      <c r="P2" s="48" t="s">
        <v>42</v>
      </c>
      <c r="Q2" s="48"/>
      <c r="R2" s="48"/>
      <c r="U2" s="48" t="s">
        <v>42</v>
      </c>
      <c r="V2" s="48"/>
      <c r="W2" s="48"/>
      <c r="Z2" s="48" t="s">
        <v>42</v>
      </c>
      <c r="AA2" s="48"/>
      <c r="AB2" s="48"/>
      <c r="AC2" s="48"/>
      <c r="AF2" s="48" t="s">
        <v>42</v>
      </c>
      <c r="AG2" s="48"/>
      <c r="AH2" s="48"/>
    </row>
    <row r="3" spans="1:34" x14ac:dyDescent="0.3">
      <c r="C3" t="s">
        <v>4</v>
      </c>
      <c r="J3" s="1" t="s">
        <v>24</v>
      </c>
      <c r="K3" s="1" t="s">
        <v>25</v>
      </c>
      <c r="L3" s="1" t="s">
        <v>26</v>
      </c>
      <c r="P3" s="1" t="s">
        <v>24</v>
      </c>
      <c r="Q3" s="1" t="s">
        <v>25</v>
      </c>
      <c r="R3" s="1" t="s">
        <v>26</v>
      </c>
      <c r="U3" s="1" t="s">
        <v>24</v>
      </c>
      <c r="V3" s="1" t="s">
        <v>25</v>
      </c>
      <c r="W3" s="1" t="s">
        <v>26</v>
      </c>
      <c r="Z3" s="1" t="s">
        <v>24</v>
      </c>
      <c r="AA3" s="1" t="s">
        <v>25</v>
      </c>
      <c r="AB3" s="1" t="s">
        <v>26</v>
      </c>
      <c r="AC3" s="1" t="s">
        <v>27</v>
      </c>
      <c r="AF3" s="1" t="s">
        <v>24</v>
      </c>
      <c r="AG3" s="1" t="s">
        <v>25</v>
      </c>
      <c r="AH3" s="1" t="s">
        <v>26</v>
      </c>
    </row>
    <row r="4" spans="1:34" x14ac:dyDescent="0.3">
      <c r="C4" t="s">
        <v>21</v>
      </c>
      <c r="F4">
        <v>1</v>
      </c>
      <c r="I4" s="7" t="s">
        <v>43</v>
      </c>
      <c r="J4">
        <v>-5.9749999999999996</v>
      </c>
      <c r="K4">
        <v>1.492</v>
      </c>
      <c r="L4">
        <v>1E-3</v>
      </c>
      <c r="O4" s="7" t="s">
        <v>43</v>
      </c>
      <c r="P4">
        <v>-2.1259999999999999</v>
      </c>
      <c r="Q4">
        <v>0.64600000000000002</v>
      </c>
      <c r="R4">
        <v>1E-3</v>
      </c>
      <c r="T4" s="7" t="s">
        <v>43</v>
      </c>
      <c r="U4">
        <v>-3.8940000000000001</v>
      </c>
      <c r="V4">
        <v>1.173</v>
      </c>
      <c r="W4">
        <v>5.0000000000000001E-4</v>
      </c>
      <c r="Y4" s="7" t="s">
        <v>56</v>
      </c>
      <c r="Z4">
        <v>-5.226</v>
      </c>
      <c r="AA4">
        <v>0.52400000000000002</v>
      </c>
      <c r="AB4">
        <v>1E-3</v>
      </c>
      <c r="AC4">
        <v>6.9900000000000004E-2</v>
      </c>
      <c r="AE4" s="7" t="s">
        <v>56</v>
      </c>
      <c r="AF4">
        <v>-2.12</v>
      </c>
      <c r="AG4">
        <v>0.71799999999999997</v>
      </c>
      <c r="AH4">
        <v>1E-3</v>
      </c>
    </row>
    <row r="5" spans="1:34" x14ac:dyDescent="0.3">
      <c r="C5" t="s">
        <v>22</v>
      </c>
      <c r="F5">
        <v>2</v>
      </c>
      <c r="I5" s="7" t="s">
        <v>44</v>
      </c>
      <c r="J5">
        <v>-6.0919999999999996</v>
      </c>
      <c r="K5">
        <v>1.492</v>
      </c>
      <c r="L5">
        <v>1E-3</v>
      </c>
      <c r="O5" s="7" t="s">
        <v>44</v>
      </c>
      <c r="P5">
        <v>-2.0550000000000002</v>
      </c>
      <c r="Q5">
        <v>0.64600000000000002</v>
      </c>
      <c r="R5">
        <v>1E-3</v>
      </c>
      <c r="T5" s="7" t="s">
        <v>44</v>
      </c>
      <c r="U5">
        <v>-4.1539999999999999</v>
      </c>
      <c r="V5">
        <v>1.173</v>
      </c>
      <c r="W5">
        <v>5.0000000000000001E-4</v>
      </c>
      <c r="Y5" s="7" t="s">
        <v>57</v>
      </c>
      <c r="Z5">
        <v>-3.5049999999999999</v>
      </c>
      <c r="AA5">
        <v>0.52400000000000002</v>
      </c>
      <c r="AB5">
        <v>1E-3</v>
      </c>
      <c r="AC5">
        <v>6.9900000000000004E-2</v>
      </c>
      <c r="AE5" s="7" t="s">
        <v>57</v>
      </c>
      <c r="AF5">
        <v>-1.966</v>
      </c>
      <c r="AG5">
        <v>0.71799999999999997</v>
      </c>
      <c r="AH5">
        <v>1E-3</v>
      </c>
    </row>
    <row r="6" spans="1:34" x14ac:dyDescent="0.3">
      <c r="I6" s="7" t="s">
        <v>45</v>
      </c>
      <c r="J6">
        <v>-6.14</v>
      </c>
      <c r="K6">
        <v>1.492</v>
      </c>
      <c r="L6">
        <v>1E-3</v>
      </c>
      <c r="O6" s="7" t="s">
        <v>45</v>
      </c>
      <c r="P6">
        <v>-1.9850000000000001</v>
      </c>
      <c r="Q6">
        <v>0.64600000000000002</v>
      </c>
      <c r="R6">
        <v>1E-3</v>
      </c>
      <c r="T6" s="7" t="s">
        <v>45</v>
      </c>
      <c r="U6">
        <v>-4.4139999999999997</v>
      </c>
      <c r="V6">
        <v>1.173</v>
      </c>
      <c r="W6">
        <v>5.0000000000000001E-4</v>
      </c>
      <c r="Y6" s="7" t="s">
        <v>58</v>
      </c>
      <c r="Z6">
        <v>-3.0230000000000001</v>
      </c>
      <c r="AA6">
        <v>0.52400000000000002</v>
      </c>
      <c r="AB6">
        <v>1E-3</v>
      </c>
      <c r="AC6">
        <v>6.9900000000000004E-2</v>
      </c>
      <c r="AE6" s="7" t="s">
        <v>58</v>
      </c>
      <c r="AF6">
        <v>-1.9990000000000001</v>
      </c>
      <c r="AG6">
        <v>0.71799999999999997</v>
      </c>
      <c r="AH6">
        <v>1E-3</v>
      </c>
    </row>
    <row r="7" spans="1:34" x14ac:dyDescent="0.3">
      <c r="I7" s="7" t="s">
        <v>46</v>
      </c>
      <c r="J7">
        <v>-5.47</v>
      </c>
      <c r="K7">
        <v>1.492</v>
      </c>
      <c r="L7">
        <v>1E-3</v>
      </c>
      <c r="O7" s="7" t="s">
        <v>46</v>
      </c>
      <c r="P7">
        <v>-2.1259999999999999</v>
      </c>
      <c r="Q7">
        <v>0.64600000000000002</v>
      </c>
      <c r="R7">
        <v>1E-3</v>
      </c>
      <c r="T7" s="7" t="s">
        <v>46</v>
      </c>
      <c r="U7">
        <v>-3.714</v>
      </c>
      <c r="V7">
        <v>1.173</v>
      </c>
      <c r="W7">
        <v>5.0000000000000001E-4</v>
      </c>
      <c r="Y7" s="7"/>
      <c r="AE7" s="7"/>
    </row>
    <row r="8" spans="1:34" x14ac:dyDescent="0.3">
      <c r="I8" s="7" t="s">
        <v>47</v>
      </c>
      <c r="J8">
        <v>-5.5869999999999997</v>
      </c>
      <c r="K8">
        <v>1.492</v>
      </c>
      <c r="L8">
        <v>1E-3</v>
      </c>
      <c r="O8" s="7" t="s">
        <v>47</v>
      </c>
      <c r="P8">
        <v>-2.0550000000000002</v>
      </c>
      <c r="Q8">
        <v>0.64600000000000002</v>
      </c>
      <c r="R8">
        <v>1E-3</v>
      </c>
      <c r="T8" s="7" t="s">
        <v>47</v>
      </c>
      <c r="U8">
        <v>-3.9740000000000002</v>
      </c>
      <c r="V8">
        <v>1.173</v>
      </c>
      <c r="W8">
        <v>5.0000000000000001E-4</v>
      </c>
      <c r="Y8" s="7"/>
      <c r="AE8" s="7"/>
    </row>
    <row r="9" spans="1:34" x14ac:dyDescent="0.3">
      <c r="I9" s="7" t="s">
        <v>48</v>
      </c>
      <c r="J9">
        <v>-5.6349999999999998</v>
      </c>
      <c r="K9">
        <v>1.492</v>
      </c>
      <c r="L9">
        <v>1E-3</v>
      </c>
      <c r="O9" s="7" t="s">
        <v>48</v>
      </c>
      <c r="P9">
        <v>-1.9850000000000001</v>
      </c>
      <c r="Q9">
        <v>0.64600000000000002</v>
      </c>
      <c r="R9">
        <v>1E-3</v>
      </c>
      <c r="T9" s="7" t="s">
        <v>48</v>
      </c>
      <c r="U9">
        <v>-4.234</v>
      </c>
      <c r="V9">
        <v>1.173</v>
      </c>
      <c r="W9">
        <v>5.0000000000000001E-4</v>
      </c>
      <c r="Y9" s="7"/>
      <c r="AE9" s="7"/>
    </row>
    <row r="10" spans="1:34" x14ac:dyDescent="0.3">
      <c r="I10" s="7" t="s">
        <v>49</v>
      </c>
      <c r="J10">
        <v>-5.8419999999999996</v>
      </c>
      <c r="K10">
        <v>1.492</v>
      </c>
      <c r="L10">
        <v>1E-3</v>
      </c>
      <c r="O10" s="7" t="s">
        <v>49</v>
      </c>
      <c r="P10">
        <v>-1.1950000000000001</v>
      </c>
      <c r="Q10">
        <v>0.64600000000000002</v>
      </c>
      <c r="R10">
        <v>1E-3</v>
      </c>
      <c r="T10" s="7" t="s">
        <v>49</v>
      </c>
      <c r="U10">
        <v>-4.4939999999999998</v>
      </c>
      <c r="V10">
        <v>1.173</v>
      </c>
      <c r="W10">
        <v>5.0000000000000001E-4</v>
      </c>
      <c r="Y10" s="7"/>
      <c r="AE10" s="7"/>
    </row>
    <row r="13" spans="1:34" x14ac:dyDescent="0.3">
      <c r="J13" s="48" t="s">
        <v>19</v>
      </c>
      <c r="K13" s="48"/>
      <c r="L13" s="48"/>
      <c r="P13" s="48" t="s">
        <v>19</v>
      </c>
      <c r="Q13" s="48"/>
      <c r="R13" s="48"/>
      <c r="U13" s="48" t="s">
        <v>19</v>
      </c>
      <c r="V13" s="48"/>
      <c r="W13" s="48"/>
      <c r="Z13" s="48" t="s">
        <v>19</v>
      </c>
      <c r="AA13" s="48"/>
      <c r="AB13" s="48"/>
      <c r="AC13" s="48"/>
      <c r="AF13" s="48" t="s">
        <v>19</v>
      </c>
      <c r="AG13" s="48"/>
      <c r="AH13" s="48"/>
    </row>
    <row r="14" spans="1:34" x14ac:dyDescent="0.3">
      <c r="J14" s="1" t="s">
        <v>24</v>
      </c>
      <c r="K14" s="1" t="s">
        <v>25</v>
      </c>
      <c r="L14" s="1" t="s">
        <v>26</v>
      </c>
      <c r="P14" s="1" t="s">
        <v>24</v>
      </c>
      <c r="Q14" s="1" t="s">
        <v>25</v>
      </c>
      <c r="R14" s="1" t="s">
        <v>26</v>
      </c>
      <c r="U14" s="1" t="s">
        <v>24</v>
      </c>
      <c r="V14" s="1" t="s">
        <v>25</v>
      </c>
      <c r="W14" s="1" t="s">
        <v>26</v>
      </c>
      <c r="Z14" s="1" t="s">
        <v>24</v>
      </c>
      <c r="AA14" s="1" t="s">
        <v>25</v>
      </c>
      <c r="AB14" s="1" t="s">
        <v>26</v>
      </c>
      <c r="AC14" s="1" t="s">
        <v>27</v>
      </c>
      <c r="AF14" s="1" t="s">
        <v>24</v>
      </c>
      <c r="AG14" s="1" t="s">
        <v>25</v>
      </c>
      <c r="AH14" s="1" t="s">
        <v>26</v>
      </c>
    </row>
    <row r="15" spans="1:34" x14ac:dyDescent="0.3">
      <c r="I15" s="7" t="s">
        <v>43</v>
      </c>
      <c r="J15">
        <v>-6.88</v>
      </c>
      <c r="K15">
        <v>1.9359999999999999</v>
      </c>
      <c r="L15">
        <v>1E-3</v>
      </c>
      <c r="O15" s="7" t="s">
        <v>43</v>
      </c>
      <c r="P15">
        <v>-2.2349999999999999</v>
      </c>
      <c r="Q15">
        <v>0.876</v>
      </c>
      <c r="R15">
        <v>1E-3</v>
      </c>
      <c r="T15" s="7" t="s">
        <v>43</v>
      </c>
      <c r="U15">
        <v>-2.895</v>
      </c>
      <c r="V15">
        <v>1.2150000000000001</v>
      </c>
      <c r="W15">
        <v>5.0000000000000001E-4</v>
      </c>
      <c r="Y15" s="7" t="s">
        <v>56</v>
      </c>
      <c r="Z15">
        <v>-3.819</v>
      </c>
      <c r="AA15">
        <v>1.256</v>
      </c>
      <c r="AB15">
        <v>1E-3</v>
      </c>
      <c r="AC15">
        <v>0</v>
      </c>
      <c r="AE15" s="7" t="s">
        <v>56</v>
      </c>
      <c r="AF15">
        <v>-1.946</v>
      </c>
      <c r="AG15">
        <v>0.68899999999999995</v>
      </c>
      <c r="AH15">
        <v>1E-3</v>
      </c>
    </row>
    <row r="16" spans="1:34" x14ac:dyDescent="0.3">
      <c r="I16" s="7" t="s">
        <v>44</v>
      </c>
      <c r="J16">
        <v>-7.141</v>
      </c>
      <c r="K16">
        <v>1.9359999999999999</v>
      </c>
      <c r="L16">
        <v>1E-3</v>
      </c>
      <c r="O16" s="7" t="s">
        <v>44</v>
      </c>
      <c r="P16">
        <v>-2.274</v>
      </c>
      <c r="Q16">
        <v>0.876</v>
      </c>
      <c r="R16">
        <v>1E-3</v>
      </c>
      <c r="T16" s="7" t="s">
        <v>44</v>
      </c>
      <c r="U16">
        <v>-3.097</v>
      </c>
      <c r="V16">
        <v>1.2150000000000001</v>
      </c>
      <c r="W16">
        <v>5.0000000000000001E-4</v>
      </c>
      <c r="Y16" s="7" t="s">
        <v>57</v>
      </c>
      <c r="Z16">
        <v>-3.819</v>
      </c>
      <c r="AA16">
        <v>1.256</v>
      </c>
      <c r="AB16">
        <v>1E-3</v>
      </c>
      <c r="AC16">
        <v>0</v>
      </c>
      <c r="AE16" s="7" t="s">
        <v>57</v>
      </c>
      <c r="AF16">
        <v>-1.7150000000000001</v>
      </c>
      <c r="AG16">
        <v>0.68899999999999995</v>
      </c>
      <c r="AH16">
        <v>1E-3</v>
      </c>
    </row>
    <row r="17" spans="7:34" x14ac:dyDescent="0.3">
      <c r="I17" s="7" t="s">
        <v>45</v>
      </c>
      <c r="J17">
        <v>-7.3289999999999997</v>
      </c>
      <c r="K17">
        <v>1.9359999999999999</v>
      </c>
      <c r="L17">
        <v>1E-3</v>
      </c>
      <c r="O17" s="7" t="s">
        <v>45</v>
      </c>
      <c r="P17">
        <v>-2.3119999999999998</v>
      </c>
      <c r="Q17">
        <v>0.876</v>
      </c>
      <c r="R17">
        <v>1E-3</v>
      </c>
      <c r="T17" s="7" t="s">
        <v>45</v>
      </c>
      <c r="U17">
        <v>-3.2989999999999999</v>
      </c>
      <c r="V17">
        <v>1.2150000000000001</v>
      </c>
      <c r="W17">
        <v>5.0000000000000001E-4</v>
      </c>
      <c r="Y17" s="7" t="s">
        <v>58</v>
      </c>
      <c r="Z17">
        <v>-2.9830000000000001</v>
      </c>
      <c r="AA17">
        <v>1.256</v>
      </c>
      <c r="AB17">
        <v>1E-3</v>
      </c>
      <c r="AC17">
        <v>0</v>
      </c>
      <c r="AE17" s="7" t="s">
        <v>58</v>
      </c>
      <c r="AF17">
        <v>-1.4</v>
      </c>
      <c r="AG17">
        <v>0.68899999999999995</v>
      </c>
      <c r="AH17">
        <v>1E-3</v>
      </c>
    </row>
    <row r="18" spans="7:34" x14ac:dyDescent="0.3">
      <c r="I18" s="7" t="s">
        <v>46</v>
      </c>
      <c r="J18">
        <v>-6.548</v>
      </c>
      <c r="K18">
        <v>1.9359999999999999</v>
      </c>
      <c r="L18">
        <v>1E-3</v>
      </c>
      <c r="O18" s="7" t="s">
        <v>46</v>
      </c>
      <c r="P18">
        <v>-2.2349999999999999</v>
      </c>
      <c r="Q18">
        <v>0.876</v>
      </c>
      <c r="R18">
        <v>1E-3</v>
      </c>
      <c r="T18" s="7" t="s">
        <v>46</v>
      </c>
      <c r="U18">
        <v>-2.7959999999999998</v>
      </c>
      <c r="V18">
        <v>1.2150000000000001</v>
      </c>
      <c r="W18">
        <v>5.0000000000000001E-4</v>
      </c>
      <c r="Y18" s="7"/>
    </row>
    <row r="19" spans="7:34" x14ac:dyDescent="0.3">
      <c r="I19" s="7" t="s">
        <v>47</v>
      </c>
      <c r="J19">
        <v>-6.8090000000000002</v>
      </c>
      <c r="K19">
        <v>1.9359999999999999</v>
      </c>
      <c r="L19">
        <v>1E-3</v>
      </c>
      <c r="O19" s="7" t="s">
        <v>47</v>
      </c>
      <c r="P19">
        <v>-2.274</v>
      </c>
      <c r="Q19">
        <v>0.876</v>
      </c>
      <c r="R19">
        <v>1E-3</v>
      </c>
      <c r="T19" s="7" t="s">
        <v>47</v>
      </c>
      <c r="U19">
        <v>-2.9980000000000002</v>
      </c>
      <c r="V19">
        <v>1.2150000000000001</v>
      </c>
      <c r="W19">
        <v>5.0000000000000001E-4</v>
      </c>
      <c r="Y19" s="7"/>
    </row>
    <row r="20" spans="7:34" x14ac:dyDescent="0.3">
      <c r="I20" s="7" t="s">
        <v>48</v>
      </c>
      <c r="J20">
        <v>-6.9969999999999999</v>
      </c>
      <c r="K20">
        <v>1.9359999999999999</v>
      </c>
      <c r="L20">
        <v>1E-3</v>
      </c>
      <c r="O20" s="7" t="s">
        <v>48</v>
      </c>
      <c r="P20">
        <v>-2.3119999999999998</v>
      </c>
      <c r="Q20">
        <v>0.876</v>
      </c>
      <c r="R20">
        <v>1E-3</v>
      </c>
      <c r="T20" s="7" t="s">
        <v>48</v>
      </c>
      <c r="U20">
        <v>-3.2</v>
      </c>
      <c r="V20">
        <v>1.2150000000000001</v>
      </c>
      <c r="W20">
        <v>5.0000000000000001E-4</v>
      </c>
      <c r="Y20" s="7"/>
    </row>
    <row r="21" spans="7:34" x14ac:dyDescent="0.3">
      <c r="I21" s="7" t="s">
        <v>49</v>
      </c>
      <c r="J21">
        <v>-7.26</v>
      </c>
      <c r="K21">
        <v>1.9359999999999999</v>
      </c>
      <c r="L21">
        <v>1E-3</v>
      </c>
      <c r="O21" s="7" t="s">
        <v>49</v>
      </c>
      <c r="P21">
        <v>-2.351</v>
      </c>
      <c r="Q21">
        <v>0.876</v>
      </c>
      <c r="R21">
        <v>1E-3</v>
      </c>
      <c r="T21" s="7" t="s">
        <v>49</v>
      </c>
      <c r="U21">
        <v>-3.4020000000000001</v>
      </c>
      <c r="V21">
        <v>1.2150000000000001</v>
      </c>
      <c r="W21">
        <v>5.0000000000000001E-4</v>
      </c>
      <c r="Y21" s="7"/>
    </row>
    <row r="23" spans="7:34" s="12" customFormat="1" x14ac:dyDescent="0.3"/>
    <row r="24" spans="7:34" x14ac:dyDescent="0.3">
      <c r="G24" t="s">
        <v>61</v>
      </c>
    </row>
    <row r="25" spans="7:34" x14ac:dyDescent="0.3">
      <c r="J25" s="48" t="s">
        <v>29</v>
      </c>
      <c r="K25" s="48"/>
      <c r="L25" s="48"/>
      <c r="P25" s="48" t="s">
        <v>28</v>
      </c>
      <c r="Q25" s="48"/>
      <c r="R25" s="48"/>
      <c r="U25" s="48" t="s">
        <v>30</v>
      </c>
      <c r="V25" s="48"/>
      <c r="W25" s="48"/>
      <c r="Z25" s="48" t="s">
        <v>54</v>
      </c>
      <c r="AA25" s="48"/>
      <c r="AB25" s="48"/>
      <c r="AC25" s="48"/>
      <c r="AF25" s="48" t="s">
        <v>53</v>
      </c>
      <c r="AG25" s="48"/>
      <c r="AH25" s="48"/>
    </row>
    <row r="26" spans="7:34" x14ac:dyDescent="0.3">
      <c r="J26" s="48" t="s">
        <v>42</v>
      </c>
      <c r="K26" s="48"/>
      <c r="L26" s="48"/>
      <c r="P26" s="48" t="s">
        <v>42</v>
      </c>
      <c r="Q26" s="48"/>
      <c r="R26" s="48"/>
      <c r="U26" s="48" t="s">
        <v>42</v>
      </c>
      <c r="V26" s="48"/>
      <c r="W26" s="48"/>
      <c r="Z26" s="48" t="s">
        <v>42</v>
      </c>
      <c r="AA26" s="48"/>
      <c r="AB26" s="48"/>
      <c r="AC26" s="48"/>
      <c r="AF26" s="48" t="s">
        <v>42</v>
      </c>
      <c r="AG26" s="48"/>
      <c r="AH26" s="48"/>
    </row>
    <row r="27" spans="7:34" x14ac:dyDescent="0.3">
      <c r="J27" s="1" t="s">
        <v>24</v>
      </c>
      <c r="K27" s="1" t="s">
        <v>25</v>
      </c>
      <c r="L27" s="1" t="s">
        <v>26</v>
      </c>
      <c r="P27" s="1" t="s">
        <v>24</v>
      </c>
      <c r="Q27" s="1" t="s">
        <v>25</v>
      </c>
      <c r="R27" s="1" t="s">
        <v>26</v>
      </c>
      <c r="U27" s="1" t="s">
        <v>24</v>
      </c>
      <c r="V27" s="1" t="s">
        <v>25</v>
      </c>
      <c r="W27" s="1" t="s">
        <v>26</v>
      </c>
      <c r="Z27" s="1" t="s">
        <v>24</v>
      </c>
      <c r="AA27" s="1" t="s">
        <v>25</v>
      </c>
      <c r="AB27" s="1" t="s">
        <v>26</v>
      </c>
      <c r="AC27" s="1" t="s">
        <v>27</v>
      </c>
      <c r="AF27" s="1" t="s">
        <v>24</v>
      </c>
      <c r="AG27" s="1" t="s">
        <v>25</v>
      </c>
      <c r="AH27" s="1" t="s">
        <v>26</v>
      </c>
    </row>
    <row r="28" spans="7:34" x14ac:dyDescent="0.3">
      <c r="I28" s="7" t="s">
        <v>43</v>
      </c>
      <c r="J28">
        <v>-5.9749999999999996</v>
      </c>
      <c r="K28">
        <v>1.492</v>
      </c>
      <c r="L28">
        <v>1E-3</v>
      </c>
      <c r="O28" s="7" t="s">
        <v>43</v>
      </c>
      <c r="P28">
        <v>-2.1259999999999999</v>
      </c>
      <c r="Q28">
        <v>0.64600000000000002</v>
      </c>
      <c r="R28">
        <v>1E-3</v>
      </c>
      <c r="T28" s="7" t="s">
        <v>43</v>
      </c>
      <c r="U28">
        <v>-2.6789999999999998</v>
      </c>
      <c r="V28">
        <v>0.90300000000000002</v>
      </c>
      <c r="W28">
        <v>5.0000000000000001E-4</v>
      </c>
      <c r="Y28" s="7" t="s">
        <v>56</v>
      </c>
      <c r="Z28">
        <v>-6.6920000000000002</v>
      </c>
      <c r="AA28">
        <v>0.52400000000000002</v>
      </c>
      <c r="AB28">
        <v>1E-3</v>
      </c>
      <c r="AC28">
        <v>6.9900000000000004E-2</v>
      </c>
      <c r="AE28" s="7" t="s">
        <v>56</v>
      </c>
      <c r="AF28">
        <v>-1.7989999999999999</v>
      </c>
      <c r="AG28">
        <v>0.71799999999999997</v>
      </c>
      <c r="AH28">
        <v>1E-3</v>
      </c>
    </row>
    <row r="29" spans="7:34" x14ac:dyDescent="0.3">
      <c r="I29" s="7" t="s">
        <v>44</v>
      </c>
      <c r="J29">
        <v>-6.0919999999999996</v>
      </c>
      <c r="K29">
        <v>1.492</v>
      </c>
      <c r="L29">
        <v>1E-3</v>
      </c>
      <c r="O29" s="7" t="s">
        <v>44</v>
      </c>
      <c r="P29">
        <v>-2.0550000000000002</v>
      </c>
      <c r="Q29">
        <v>0.64600000000000002</v>
      </c>
      <c r="R29">
        <v>1E-3</v>
      </c>
      <c r="T29" s="7" t="s">
        <v>44</v>
      </c>
      <c r="U29">
        <v>-2.6789999999999998</v>
      </c>
      <c r="V29">
        <v>0.90300000000000002</v>
      </c>
      <c r="W29">
        <v>5.0000000000000001E-4</v>
      </c>
      <c r="Y29" s="7" t="s">
        <v>57</v>
      </c>
      <c r="Z29">
        <v>-4.9710000000000001</v>
      </c>
      <c r="AA29">
        <v>0.52400000000000002</v>
      </c>
      <c r="AB29">
        <v>1E-3</v>
      </c>
      <c r="AC29">
        <v>6.9900000000000004E-2</v>
      </c>
      <c r="AE29" s="7" t="s">
        <v>57</v>
      </c>
      <c r="AF29">
        <v>-1.645</v>
      </c>
      <c r="AG29">
        <v>0.71799999999999997</v>
      </c>
      <c r="AH29">
        <v>1E-3</v>
      </c>
    </row>
    <row r="30" spans="7:34" x14ac:dyDescent="0.3">
      <c r="I30" s="7" t="s">
        <v>45</v>
      </c>
      <c r="J30">
        <v>-6.14</v>
      </c>
      <c r="K30">
        <v>1.492</v>
      </c>
      <c r="L30">
        <v>1E-3</v>
      </c>
      <c r="O30" s="7" t="s">
        <v>45</v>
      </c>
      <c r="P30">
        <v>-1.9850000000000001</v>
      </c>
      <c r="Q30">
        <v>0.64600000000000002</v>
      </c>
      <c r="R30">
        <v>1E-3</v>
      </c>
      <c r="T30" s="7" t="s">
        <v>45</v>
      </c>
      <c r="U30">
        <v>-2.6789999999999998</v>
      </c>
      <c r="V30">
        <v>0.90300000000000002</v>
      </c>
      <c r="W30">
        <v>5.0000000000000001E-4</v>
      </c>
      <c r="Y30" s="7" t="s">
        <v>58</v>
      </c>
      <c r="Z30">
        <v>-4.4889999999999999</v>
      </c>
      <c r="AA30">
        <v>0.52400000000000002</v>
      </c>
      <c r="AB30">
        <v>1E-3</v>
      </c>
      <c r="AC30">
        <v>6.9900000000000004E-2</v>
      </c>
      <c r="AE30" s="7" t="s">
        <v>58</v>
      </c>
      <c r="AF30">
        <v>-1.6779999999999999</v>
      </c>
      <c r="AG30">
        <v>0.71799999999999997</v>
      </c>
      <c r="AH30">
        <v>1E-3</v>
      </c>
    </row>
    <row r="31" spans="7:34" x14ac:dyDescent="0.3">
      <c r="I31" s="7" t="s">
        <v>46</v>
      </c>
      <c r="J31">
        <v>-5.47</v>
      </c>
      <c r="K31">
        <v>1.492</v>
      </c>
      <c r="L31">
        <v>1E-3</v>
      </c>
      <c r="O31" s="7" t="s">
        <v>46</v>
      </c>
      <c r="P31">
        <v>-2.1259999999999999</v>
      </c>
      <c r="Q31">
        <v>0.64600000000000002</v>
      </c>
      <c r="R31">
        <v>1E-3</v>
      </c>
      <c r="T31" s="7" t="s">
        <v>46</v>
      </c>
      <c r="U31">
        <v>-2.6789999999999998</v>
      </c>
      <c r="V31">
        <v>0.90300000000000002</v>
      </c>
      <c r="W31">
        <v>5.0000000000000001E-4</v>
      </c>
      <c r="Y31" s="7"/>
      <c r="AE31" s="7"/>
    </row>
    <row r="32" spans="7:34" x14ac:dyDescent="0.3">
      <c r="I32" s="7" t="s">
        <v>47</v>
      </c>
      <c r="J32">
        <v>-5.5869999999999997</v>
      </c>
      <c r="K32">
        <v>1.492</v>
      </c>
      <c r="L32">
        <v>1E-3</v>
      </c>
      <c r="O32" s="7" t="s">
        <v>47</v>
      </c>
      <c r="P32">
        <v>-2.0550000000000002</v>
      </c>
      <c r="Q32">
        <v>0.64600000000000002</v>
      </c>
      <c r="R32">
        <v>1E-3</v>
      </c>
      <c r="T32" s="7" t="s">
        <v>47</v>
      </c>
      <c r="U32">
        <v>-2.6789999999999998</v>
      </c>
      <c r="V32">
        <v>0.90300000000000002</v>
      </c>
      <c r="W32">
        <v>5.0000000000000001E-4</v>
      </c>
      <c r="Y32" s="7"/>
      <c r="AE32" s="7"/>
    </row>
    <row r="33" spans="9:34" x14ac:dyDescent="0.3">
      <c r="I33" s="7" t="s">
        <v>48</v>
      </c>
      <c r="J33">
        <v>-5.6349999999999998</v>
      </c>
      <c r="K33">
        <v>1.492</v>
      </c>
      <c r="L33">
        <v>1E-3</v>
      </c>
      <c r="O33" s="7" t="s">
        <v>48</v>
      </c>
      <c r="P33">
        <v>-1.9850000000000001</v>
      </c>
      <c r="Q33">
        <v>0.64600000000000002</v>
      </c>
      <c r="R33">
        <v>1E-3</v>
      </c>
      <c r="T33" s="7" t="s">
        <v>48</v>
      </c>
      <c r="U33">
        <v>-2.6789999999999998</v>
      </c>
      <c r="V33">
        <v>0.90300000000000002</v>
      </c>
      <c r="W33">
        <v>5.0000000000000001E-4</v>
      </c>
      <c r="Y33" s="7"/>
      <c r="AE33" s="7"/>
    </row>
    <row r="34" spans="9:34" x14ac:dyDescent="0.3">
      <c r="I34" s="7" t="s">
        <v>49</v>
      </c>
      <c r="J34">
        <v>-5.8419999999999996</v>
      </c>
      <c r="K34">
        <v>1.492</v>
      </c>
      <c r="L34">
        <v>1E-3</v>
      </c>
      <c r="O34" s="7" t="s">
        <v>49</v>
      </c>
      <c r="P34">
        <v>-1.1950000000000001</v>
      </c>
      <c r="Q34">
        <v>0.64600000000000002</v>
      </c>
      <c r="R34">
        <v>1E-3</v>
      </c>
      <c r="T34" s="7" t="s">
        <v>49</v>
      </c>
      <c r="U34">
        <v>-2.6789999999999998</v>
      </c>
      <c r="V34">
        <v>0.90300000000000002</v>
      </c>
      <c r="W34">
        <v>5.0000000000000001E-4</v>
      </c>
      <c r="Y34" s="7"/>
      <c r="AE34" s="7"/>
    </row>
    <row r="37" spans="9:34" x14ac:dyDescent="0.3">
      <c r="J37" s="48" t="s">
        <v>19</v>
      </c>
      <c r="K37" s="48"/>
      <c r="L37" s="48"/>
      <c r="P37" s="48" t="s">
        <v>19</v>
      </c>
      <c r="Q37" s="48"/>
      <c r="R37" s="48"/>
      <c r="U37" s="48" t="s">
        <v>19</v>
      </c>
      <c r="V37" s="48"/>
      <c r="W37" s="48"/>
      <c r="Z37" s="48" t="s">
        <v>19</v>
      </c>
      <c r="AA37" s="48"/>
      <c r="AB37" s="48"/>
      <c r="AC37" s="48"/>
      <c r="AF37" s="48" t="s">
        <v>19</v>
      </c>
      <c r="AG37" s="48"/>
      <c r="AH37" s="48"/>
    </row>
    <row r="38" spans="9:34" x14ac:dyDescent="0.3">
      <c r="J38" s="1" t="s">
        <v>24</v>
      </c>
      <c r="K38" s="1" t="s">
        <v>25</v>
      </c>
      <c r="L38" s="1" t="s">
        <v>26</v>
      </c>
      <c r="P38" s="1" t="s">
        <v>24</v>
      </c>
      <c r="Q38" s="1" t="s">
        <v>25</v>
      </c>
      <c r="R38" s="1" t="s">
        <v>26</v>
      </c>
      <c r="U38" s="1" t="s">
        <v>24</v>
      </c>
      <c r="V38" s="1" t="s">
        <v>25</v>
      </c>
      <c r="W38" s="1" t="s">
        <v>26</v>
      </c>
      <c r="Z38" s="1" t="s">
        <v>24</v>
      </c>
      <c r="AA38" s="1" t="s">
        <v>25</v>
      </c>
      <c r="AB38" s="1" t="s">
        <v>26</v>
      </c>
      <c r="AC38" s="1" t="s">
        <v>27</v>
      </c>
      <c r="AF38" s="1" t="s">
        <v>24</v>
      </c>
      <c r="AG38" s="1" t="s">
        <v>25</v>
      </c>
      <c r="AH38" s="1" t="s">
        <v>26</v>
      </c>
    </row>
    <row r="39" spans="9:34" x14ac:dyDescent="0.3">
      <c r="I39" s="7" t="s">
        <v>43</v>
      </c>
      <c r="J39">
        <v>-6.88</v>
      </c>
      <c r="K39">
        <v>1.9359999999999999</v>
      </c>
      <c r="L39">
        <v>1E-3</v>
      </c>
      <c r="O39" s="7" t="s">
        <v>43</v>
      </c>
      <c r="P39">
        <v>-2.2349999999999999</v>
      </c>
      <c r="Q39">
        <v>0.876</v>
      </c>
      <c r="R39">
        <v>1E-3</v>
      </c>
      <c r="T39" s="7" t="s">
        <v>43</v>
      </c>
      <c r="U39">
        <v>-1.798</v>
      </c>
      <c r="V39">
        <v>0.93200000000000005</v>
      </c>
      <c r="W39">
        <v>5.0000000000000001E-4</v>
      </c>
      <c r="Y39" s="7" t="s">
        <v>56</v>
      </c>
      <c r="Z39">
        <v>-4.851</v>
      </c>
      <c r="AA39">
        <v>1.256</v>
      </c>
      <c r="AB39">
        <v>1E-3</v>
      </c>
      <c r="AC39">
        <v>0</v>
      </c>
      <c r="AE39" s="7" t="s">
        <v>56</v>
      </c>
      <c r="AF39">
        <v>-1.7390000000000001</v>
      </c>
      <c r="AG39">
        <v>0.68899999999999995</v>
      </c>
      <c r="AH39">
        <v>1E-3</v>
      </c>
    </row>
    <row r="40" spans="9:34" x14ac:dyDescent="0.3">
      <c r="I40" s="7" t="s">
        <v>44</v>
      </c>
      <c r="J40">
        <v>-7.141</v>
      </c>
      <c r="K40">
        <v>1.9359999999999999</v>
      </c>
      <c r="L40">
        <v>1E-3</v>
      </c>
      <c r="O40" s="7" t="s">
        <v>44</v>
      </c>
      <c r="P40">
        <v>-2.274</v>
      </c>
      <c r="Q40">
        <v>0.876</v>
      </c>
      <c r="R40">
        <v>1E-3</v>
      </c>
      <c r="T40" s="7" t="s">
        <v>44</v>
      </c>
      <c r="U40">
        <v>-1.798</v>
      </c>
      <c r="V40">
        <v>0.93200000000000005</v>
      </c>
      <c r="W40">
        <v>5.0000000000000001E-4</v>
      </c>
      <c r="Y40" s="7" t="s">
        <v>57</v>
      </c>
      <c r="Z40">
        <v>-4.851</v>
      </c>
      <c r="AA40">
        <v>1.256</v>
      </c>
      <c r="AB40">
        <v>1E-3</v>
      </c>
      <c r="AC40">
        <v>0</v>
      </c>
      <c r="AE40" s="7" t="s">
        <v>57</v>
      </c>
      <c r="AF40">
        <v>-1.508</v>
      </c>
      <c r="AG40">
        <v>0.68899999999999995</v>
      </c>
      <c r="AH40">
        <v>1E-3</v>
      </c>
    </row>
    <row r="41" spans="9:34" x14ac:dyDescent="0.3">
      <c r="I41" s="7" t="s">
        <v>45</v>
      </c>
      <c r="J41">
        <v>-7.3289999999999997</v>
      </c>
      <c r="K41">
        <v>1.9359999999999999</v>
      </c>
      <c r="L41">
        <v>1E-3</v>
      </c>
      <c r="O41" s="7" t="s">
        <v>45</v>
      </c>
      <c r="P41">
        <v>-2.3119999999999998</v>
      </c>
      <c r="Q41">
        <v>0.876</v>
      </c>
      <c r="R41">
        <v>1E-3</v>
      </c>
      <c r="T41" s="7" t="s">
        <v>45</v>
      </c>
      <c r="U41">
        <v>-1.798</v>
      </c>
      <c r="V41">
        <v>0.93200000000000005</v>
      </c>
      <c r="W41">
        <v>5.0000000000000001E-4</v>
      </c>
      <c r="Y41" s="7" t="s">
        <v>58</v>
      </c>
      <c r="Z41">
        <v>-4.0149999999999997</v>
      </c>
      <c r="AA41">
        <v>1.256</v>
      </c>
      <c r="AB41">
        <v>1E-3</v>
      </c>
      <c r="AC41">
        <v>0</v>
      </c>
      <c r="AE41" s="7" t="s">
        <v>58</v>
      </c>
      <c r="AF41">
        <v>-1.1930000000000001</v>
      </c>
      <c r="AG41">
        <v>0.68899999999999995</v>
      </c>
      <c r="AH41">
        <v>1E-3</v>
      </c>
    </row>
    <row r="42" spans="9:34" x14ac:dyDescent="0.3">
      <c r="I42" s="7" t="s">
        <v>46</v>
      </c>
      <c r="J42">
        <v>-6.548</v>
      </c>
      <c r="K42">
        <v>1.9359999999999999</v>
      </c>
      <c r="L42">
        <v>1E-3</v>
      </c>
      <c r="O42" s="7" t="s">
        <v>46</v>
      </c>
      <c r="P42">
        <v>-2.2349999999999999</v>
      </c>
      <c r="Q42">
        <v>0.876</v>
      </c>
      <c r="R42">
        <v>1E-3</v>
      </c>
      <c r="T42" s="7" t="s">
        <v>46</v>
      </c>
      <c r="U42">
        <v>-1.798</v>
      </c>
      <c r="V42">
        <v>0.93200000000000005</v>
      </c>
      <c r="W42">
        <v>5.0000000000000001E-4</v>
      </c>
      <c r="Y42" s="7"/>
    </row>
    <row r="43" spans="9:34" x14ac:dyDescent="0.3">
      <c r="I43" s="7" t="s">
        <v>47</v>
      </c>
      <c r="J43">
        <v>-6.8090000000000002</v>
      </c>
      <c r="K43">
        <v>1.9359999999999999</v>
      </c>
      <c r="L43">
        <v>1E-3</v>
      </c>
      <c r="O43" s="7" t="s">
        <v>47</v>
      </c>
      <c r="P43">
        <v>-2.274</v>
      </c>
      <c r="Q43">
        <v>0.876</v>
      </c>
      <c r="R43">
        <v>1E-3</v>
      </c>
      <c r="T43" s="7" t="s">
        <v>47</v>
      </c>
      <c r="U43">
        <v>-1.798</v>
      </c>
      <c r="V43">
        <v>0.93200000000000005</v>
      </c>
      <c r="W43">
        <v>5.0000000000000001E-4</v>
      </c>
      <c r="Y43" s="7"/>
    </row>
    <row r="44" spans="9:34" x14ac:dyDescent="0.3">
      <c r="I44" s="7" t="s">
        <v>48</v>
      </c>
      <c r="J44">
        <v>-6.9969999999999999</v>
      </c>
      <c r="K44">
        <v>1.9359999999999999</v>
      </c>
      <c r="L44">
        <v>1E-3</v>
      </c>
      <c r="O44" s="7" t="s">
        <v>48</v>
      </c>
      <c r="P44">
        <v>-2.3119999999999998</v>
      </c>
      <c r="Q44">
        <v>0.876</v>
      </c>
      <c r="R44">
        <v>1E-3</v>
      </c>
      <c r="T44" s="7" t="s">
        <v>48</v>
      </c>
      <c r="U44">
        <v>-1.798</v>
      </c>
      <c r="V44">
        <v>0.93200000000000005</v>
      </c>
      <c r="W44">
        <v>5.0000000000000001E-4</v>
      </c>
      <c r="Y44" s="7"/>
    </row>
    <row r="45" spans="9:34" x14ac:dyDescent="0.3">
      <c r="I45" s="7" t="s">
        <v>49</v>
      </c>
      <c r="J45">
        <v>-7.26</v>
      </c>
      <c r="K45">
        <v>1.9359999999999999</v>
      </c>
      <c r="L45">
        <v>1E-3</v>
      </c>
      <c r="O45" s="7" t="s">
        <v>49</v>
      </c>
      <c r="P45">
        <v>-2.351</v>
      </c>
      <c r="Q45">
        <v>0.876</v>
      </c>
      <c r="R45">
        <v>1E-3</v>
      </c>
      <c r="T45" s="7" t="s">
        <v>49</v>
      </c>
      <c r="U45">
        <v>-1.798</v>
      </c>
      <c r="V45">
        <v>0.93200000000000005</v>
      </c>
      <c r="W45">
        <v>5.0000000000000001E-4</v>
      </c>
      <c r="Y45" s="7"/>
    </row>
  </sheetData>
  <sheetProtection password="94A6" sheet="1" objects="1" scenarios="1"/>
  <mergeCells count="30">
    <mergeCell ref="J37:L37"/>
    <mergeCell ref="P37:R37"/>
    <mergeCell ref="U37:W37"/>
    <mergeCell ref="Z37:AC37"/>
    <mergeCell ref="AF37:AH37"/>
    <mergeCell ref="J26:L26"/>
    <mergeCell ref="P26:R26"/>
    <mergeCell ref="U26:W26"/>
    <mergeCell ref="Z26:AC26"/>
    <mergeCell ref="AF26:AH26"/>
    <mergeCell ref="J25:L25"/>
    <mergeCell ref="P25:R25"/>
    <mergeCell ref="U25:W25"/>
    <mergeCell ref="Z25:AC25"/>
    <mergeCell ref="AF25:AH25"/>
    <mergeCell ref="U1:W1"/>
    <mergeCell ref="U2:W2"/>
    <mergeCell ref="U13:W13"/>
    <mergeCell ref="J2:L2"/>
    <mergeCell ref="J13:L13"/>
    <mergeCell ref="J1:L1"/>
    <mergeCell ref="P1:R1"/>
    <mergeCell ref="P2:R2"/>
    <mergeCell ref="P13:R13"/>
    <mergeCell ref="Z2:AC2"/>
    <mergeCell ref="Z1:AC1"/>
    <mergeCell ref="Z13:AC13"/>
    <mergeCell ref="AF1:AH1"/>
    <mergeCell ref="AF2:AH2"/>
    <mergeCell ref="AF13:AH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Horizontal Curve Calculator</vt:lpstr>
      <vt:lpstr>Shoulder Width Calculator</vt:lpstr>
      <vt:lpstr>Ramp Entrance Calculator</vt:lpstr>
      <vt:lpstr>Ramp Exit Calculator</vt:lpstr>
      <vt:lpstr>ISATe Hide</vt:lpstr>
      <vt:lpstr>Area</vt:lpstr>
      <vt:lpstr>Lanes</vt:lpstr>
      <vt:lpstr>RLanes</vt:lpstr>
      <vt:lpstr>Yes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Gooch, Jeff</dc:creator>
  <cp:lastModifiedBy>PilJin Chun</cp:lastModifiedBy>
  <dcterms:created xsi:type="dcterms:W3CDTF">2018-09-13T12:51:03Z</dcterms:created>
  <dcterms:modified xsi:type="dcterms:W3CDTF">2022-04-29T12:00:14Z</dcterms:modified>
</cp:coreProperties>
</file>